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1040" windowHeight="9765" tabRatio="695" firstSheet="2" activeTab="20"/>
  </bookViews>
  <sheets>
    <sheet name="Begroting 2002-2003" sheetId="1" state="hidden" r:id="rId1"/>
    <sheet name="2004" sheetId="2" state="hidden" r:id="rId2"/>
    <sheet name="Totaaloverzicht" sheetId="3" r:id="rId3"/>
    <sheet name="doelvermogen" sheetId="4" state="hidden" r:id="rId4"/>
    <sheet name="agio berekening" sheetId="5" state="hidden" r:id="rId5"/>
    <sheet name="2005" sheetId="6" state="hidden" r:id="rId6"/>
    <sheet name="2006" sheetId="7" state="hidden" r:id="rId7"/>
    <sheet name="2007" sheetId="8" state="hidden" r:id="rId8"/>
    <sheet name="2008" sheetId="9" state="hidden" r:id="rId9"/>
    <sheet name="2009" sheetId="10" state="hidden"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state="hidden" r:id="rId22"/>
    <sheet name="2022" sheetId="23" state="hidden" r:id="rId23"/>
  </sheets>
  <externalReferences>
    <externalReference r:id="rId26"/>
    <externalReference r:id="rId27"/>
  </externalReferences>
  <definedNames>
    <definedName name="_xlnm.Print_Area" localSheetId="1">'2004'!$A:$IV</definedName>
    <definedName name="_xlnm.Print_Area" localSheetId="6">'2006'!$A$2:$G$48</definedName>
    <definedName name="_xlnm.Print_Area" localSheetId="7">'2007'!$A$2:$G$48</definedName>
    <definedName name="_xlnm.Print_Area" localSheetId="8">'2008'!$A$1:$G$48</definedName>
    <definedName name="_xlnm.Print_Area" localSheetId="9">'2009'!$A$1:$G$48</definedName>
    <definedName name="_xlnm.Print_Area" localSheetId="10">'2010'!$A$1:$G$48</definedName>
    <definedName name="_xlnm.Print_Area" localSheetId="11">'2011'!$A$1:$G$48</definedName>
    <definedName name="_xlnm.Print_Area" localSheetId="12">'2012'!$A$1:$G$48</definedName>
    <definedName name="_xlnm.Print_Area" localSheetId="13">'2013'!$A$1:$G$48</definedName>
    <definedName name="_xlnm.Print_Area" localSheetId="14">'2014'!$A$1:$G$48</definedName>
    <definedName name="_xlnm.Print_Area" localSheetId="15">'2015'!$A$1:$G$48</definedName>
    <definedName name="_xlnm.Print_Area" localSheetId="16">'2016'!$A$1:$G$48</definedName>
    <definedName name="_xlnm.Print_Area" localSheetId="17">'2017'!$A$1:$G$48</definedName>
    <definedName name="_xlnm.Print_Area" localSheetId="18">'2018'!$A$1:$G$48</definedName>
    <definedName name="_xlnm.Print_Area" localSheetId="19">'2019'!$A$1:$G$48</definedName>
    <definedName name="_xlnm.Print_Area" localSheetId="20">'2020'!$A$1:$H$47</definedName>
    <definedName name="_xlnm.Print_Area" localSheetId="2">'Totaaloverzicht'!$A$1:$U$62</definedName>
    <definedName name="_xlnm.Print_Titles" localSheetId="6">'2006'!$1:$1</definedName>
    <definedName name="_xlnm.Print_Titles" localSheetId="7">'2007'!$1:$1</definedName>
    <definedName name="_xlnm.Print_Titles" localSheetId="2">'Totaaloverzicht'!$1:$2</definedName>
  </definedNames>
  <calcPr fullCalcOnLoad="1"/>
</workbook>
</file>

<file path=xl/sharedStrings.xml><?xml version="1.0" encoding="utf-8"?>
<sst xmlns="http://schemas.openxmlformats.org/spreadsheetml/2006/main" count="1573" uniqueCount="212">
  <si>
    <t>Lasten</t>
  </si>
  <si>
    <t>Baten</t>
  </si>
  <si>
    <t>Kosten adviescommissie</t>
  </si>
  <si>
    <t>Accountantskosten</t>
  </si>
  <si>
    <t>a. rente lang geld</t>
  </si>
  <si>
    <t>b. rente kort geld</t>
  </si>
  <si>
    <t>c. rente rekening-courant</t>
  </si>
  <si>
    <t>e. koersverschil</t>
  </si>
  <si>
    <t>a. betaalde rente</t>
  </si>
  <si>
    <t>f. afschrijving agio/disagio</t>
  </si>
  <si>
    <t xml:space="preserve">N.B. </t>
  </si>
  <si>
    <r>
      <t>Advieskosten derden</t>
    </r>
    <r>
      <rPr>
        <sz val="10"/>
        <rFont val="Arial"/>
        <family val="0"/>
      </rPr>
      <t>. Betreft advisering over het beheer van het fonds.</t>
    </r>
  </si>
  <si>
    <r>
      <t>Kosten administratie</t>
    </r>
    <r>
      <rPr>
        <sz val="10"/>
        <rFont val="Arial"/>
        <family val="0"/>
      </rPr>
      <t>: vergoeding aan de provincie omdat die de administratie doet.</t>
    </r>
  </si>
  <si>
    <r>
      <t>Kosten verzekering</t>
    </r>
    <r>
      <rPr>
        <sz val="10"/>
        <rFont val="Arial"/>
        <family val="0"/>
      </rPr>
      <t xml:space="preserve"> aansprakelijkheid. Zie art. 15.47, lid 7 onder c WM.</t>
    </r>
  </si>
  <si>
    <r>
      <t>Kosten treasury</t>
    </r>
    <r>
      <rPr>
        <sz val="10"/>
        <rFont val="Arial"/>
        <family val="0"/>
      </rPr>
      <t>:</t>
    </r>
  </si>
  <si>
    <r>
      <t>Opbrengsten treasury</t>
    </r>
    <r>
      <rPr>
        <sz val="10"/>
        <rFont val="Arial"/>
        <family val="0"/>
      </rPr>
      <t>:</t>
    </r>
  </si>
  <si>
    <t>Vergoeding aan de provincie i.v.m. terugbetaling aan stortplaats. Zie art. 11,  lid 7, Reglement.</t>
  </si>
  <si>
    <t>d. dividend (minus dividendbelasting en plus teruggaaf daarvan)</t>
  </si>
  <si>
    <r>
      <t>Ontvangen heffing</t>
    </r>
    <r>
      <rPr>
        <sz val="10"/>
        <rFont val="Arial"/>
        <family val="0"/>
      </rPr>
      <t>. Is uitkering van de provincie. Betreft heffing open stortplaats onder aftrek van opslag monitoring gesloten stortplaatsen.</t>
    </r>
  </si>
  <si>
    <t>N.B. Het treauryresultaat (saldo) wordt verminderd met de gemaakte kosten (advies-, bemiddeling-, provincie) verdeeld over de algemene reserve en de voorzieningen naar rato van de omvang.</t>
  </si>
  <si>
    <t>totaal lasten</t>
  </si>
  <si>
    <t>totaal baten</t>
  </si>
  <si>
    <t>Toevoeging aan algemene reserve: deel treasuryresultaat (zie art. 11, lid 5, Reglement)</t>
  </si>
  <si>
    <t>Saldo na saldobestemming</t>
  </si>
  <si>
    <t>Exploitatiesaldo vóór saldobestemming</t>
  </si>
  <si>
    <r>
      <t xml:space="preserve">Onttrekking aan de voorziening geopende stortplaats: </t>
    </r>
    <r>
      <rPr>
        <sz val="10"/>
        <rFont val="Arial"/>
        <family val="2"/>
      </rPr>
      <t xml:space="preserve">i.v.m. teruggave a.g.v. overschot. </t>
    </r>
  </si>
  <si>
    <r>
      <t>Storting in voorziening geopende stortplaats:</t>
    </r>
    <r>
      <rPr>
        <sz val="10"/>
        <rFont val="Arial"/>
        <family val="2"/>
      </rPr>
      <t xml:space="preserve"> ontvangen heffing excl. opslag monitoring. Art. 11,lid 2 Reglement.</t>
    </r>
  </si>
  <si>
    <t>Onttrekking aan algemene reserve: Tekortaanvulling voorziening gesloten stortplaats. Art.11, lid 3 onder b Reglement.</t>
  </si>
  <si>
    <t>d. kosten provincie (vergoeding) Art. 15.47, lid 7 onder b WM.</t>
  </si>
  <si>
    <t>b. advieskosten Art. 15.47, lid 7 onder b.</t>
  </si>
  <si>
    <t>c. bemiddelingskosten Art. 15.47, lid 7, onder b.</t>
  </si>
  <si>
    <r>
      <t>Kosten nazorg gesloten stortplaats</t>
    </r>
    <r>
      <rPr>
        <sz val="10"/>
        <rFont val="Arial"/>
        <family val="0"/>
      </rPr>
      <t>. Betreft vergoeding aan de provincie. Nog niet van toepassing. Komt t.z.t. ten laste van de voorziening. Loopt niet over de exploitatie.</t>
    </r>
  </si>
  <si>
    <r>
      <t>Storting in voorziening gesloten stortplaats:</t>
    </r>
    <r>
      <rPr>
        <sz val="10"/>
        <rFont val="Arial"/>
        <family val="2"/>
      </rPr>
      <t xml:space="preserve"> Tekortaanvulling. Art. 11, lid 3 onder b Reglement. N.v.t.</t>
    </r>
  </si>
  <si>
    <r>
      <t>Kosten secretariaa</t>
    </r>
    <r>
      <rPr>
        <sz val="10"/>
        <rFont val="Arial"/>
        <family val="0"/>
      </rPr>
      <t xml:space="preserve">t: vergoeding aan de provincie. </t>
    </r>
  </si>
  <si>
    <t>Omschrijving</t>
  </si>
  <si>
    <t>Bedrag</t>
  </si>
  <si>
    <t>Toelichting</t>
  </si>
  <si>
    <t>Heffing over stort in 1999 t/m 2001 incl. rentebijschrijving t/m 2002 en onder aftrek van reeds aan provincie afgedragen bedrag  (incl. rentebijschrijving t/m 2002).</t>
  </si>
  <si>
    <t xml:space="preserve">Eerder door provincie ontvangen bedrag (incl. rente tot en met 31-12-2002) </t>
  </si>
  <si>
    <t>Rente over het reeds ontvangen bedrag van € 211.695 over de periode 01-01-2003 t/m 31-01-2003 tegen 5,06%.</t>
  </si>
  <si>
    <t>Rentebijschrijving van 01-02-2003 t/m 31-03-2003.</t>
  </si>
  <si>
    <t>p.m.</t>
  </si>
  <si>
    <t>Er is  nog geen geld belegd in aandelen c.a.</t>
  </si>
  <si>
    <t>Er is geen afzonderlijke verzekering nodig.</t>
  </si>
  <si>
    <t>Betreft het opstellen en bewaken van de begroting, het voeren van de administratie (incl. backoffice), het opstellen van tussentijdse rapportages en van de jaarrekening/jaarverslag. Gerekend met 15 werkdagen op jaarbasis.</t>
  </si>
  <si>
    <t>Betreft de werkzaamheden van de treasurer excl. backoffice. Gerekend met 10 dagen op jaarbasis.</t>
  </si>
  <si>
    <t xml:space="preserve">In het kader van de controle op de provincie Utrecht zal een afzonderlijke accountantsverklaring worden gevraagd voor het Nazorgfonds. </t>
  </si>
  <si>
    <t>Betreft vergoeding aan voorzitter en leden. Uitgegaan van in totaal 4 vergaderingen in 2002 en 2003. Daarbij zijn de volgende bedragen gehanteerd: voor de voorzitter € 295 en voor de vertegenwoordiger van de VVAV € 230 per vergadering.</t>
  </si>
  <si>
    <t xml:space="preserve">Begroting 2002-2003 : </t>
  </si>
  <si>
    <t>Nazorg Smink</t>
  </si>
  <si>
    <t>Nog niet van toepassing.</t>
  </si>
  <si>
    <t>Niet van toepassing.</t>
  </si>
  <si>
    <t>Nog geen bedrag geraamd. Mocht op enig moment blijken, dat hiervoor gelden nodig zijn dan zal daartoe worden besloten, gehoord de adviescommissie.</t>
  </si>
  <si>
    <t>Niet van toepassing. Er zijn middelen beschikbar. Een deel daarvan zal op de rekening-courant blijven staan.</t>
  </si>
  <si>
    <t>Niet van toepassing. Doet zich pas bij de jaarrekening voor als is belegd in aandelen enz.</t>
  </si>
  <si>
    <t>Dit zal zich voordoen als gelden worden uitgezet tegen lagere of hogere rente dan de marktrente. In de loop van het jaar blijkt dat pas. De feitelijke rente wordt dan via deze post gecorrigeerd.</t>
  </si>
  <si>
    <r>
      <t>Storting in voorziening geopende stortplaats:</t>
    </r>
    <r>
      <rPr>
        <sz val="10"/>
        <rFont val="Arial"/>
        <family val="2"/>
      </rPr>
      <t xml:space="preserve"> treasuryresultaat minus kosten</t>
    </r>
  </si>
  <si>
    <t>Hiervan is nog geen sprake.</t>
  </si>
  <si>
    <t>Algemene reserve is nog nihil. Daarin worden pas bedragen gestort als een stortplaats wordt gesloten.</t>
  </si>
  <si>
    <t>Dit resultaat moet worden verdeeld over algemene reserve en de voorziening open stortplaats naar rato van de omvang daarvan. Aangezien er nog geen algemen reserve is wordt het totaalresultaat aan deze voorziening toegevoegd.</t>
  </si>
  <si>
    <t>Geraamd wordt, dat per vergadering van de adviescommissie 3 werkdagen nodig zijn voor voorbereiding, verslaglegging enz. Uitgaande van 4 vergaderingen in 2002 en 2003 wordt € 6.000 geraamd.</t>
  </si>
  <si>
    <t>Uitgangspunten ramingen 2004:</t>
  </si>
  <si>
    <t>Heffing over stort in 2002. Deze is bepaald op 139.000 ton.</t>
  </si>
  <si>
    <t>Rente over € 2.061.296 (211.695 + 1.414.275 + 420.713 + 893+ 13.720) van 01-04-2003 t/m 31-12-2003 tegen 5,06%.</t>
  </si>
  <si>
    <t>Kosten van ondersteuning bij het uitzetten van gelden. Gedacht moet worden aan 1 promille van het uit te zetten bedrag ad € 2,1 mln..</t>
  </si>
  <si>
    <t>Heffing over stort in 2003. Hierbij is uitgegaan van 154.000 ton.</t>
  </si>
  <si>
    <t>Uitzetting: alleen het ontvangen bedrag aan heffing.</t>
  </si>
  <si>
    <t>Geraamd wordt, dat per vergadering van de adviescommissie 3 werkdagen nodig zijn voor voorbereiding, verslaglegging enz. Uitgegaan van 3 vergaderingen in 2005.</t>
  </si>
  <si>
    <t>Rentebijschrijving van 01-01-2004 t/m 31-03-2004.</t>
  </si>
  <si>
    <t>Totaal vermogen per 31-12-2003</t>
  </si>
  <si>
    <t>Beschikbaar vermogen per 31-12-2003</t>
  </si>
  <si>
    <t>Toename vermogen 2004</t>
  </si>
  <si>
    <t>Totaal vermogen per 31-12-2004</t>
  </si>
  <si>
    <t>Rentebijschrijving van 01-01-2005 t/m 31-03-2005 over totaal vermogen per 31-12-2004.</t>
  </si>
  <si>
    <t>Beschikbaar vermogen per 31-12-2004</t>
  </si>
  <si>
    <t>Toename vermogen 2005</t>
  </si>
  <si>
    <t>Totaal vermogen per 31-12-2005</t>
  </si>
  <si>
    <t>Uitzetting: het ontvangen bedrag aan heffing + 10% van reeds uitgezet vermogen.</t>
  </si>
  <si>
    <t>Totaaloverzicht baten en lasten</t>
  </si>
  <si>
    <t>Storting in voorziening geopende stortplaats: ontvangen heffing</t>
  </si>
  <si>
    <t xml:space="preserve">Advieskosten derden. </t>
  </si>
  <si>
    <t xml:space="preserve">Kosten secretariaat: vergoeding aan de provincie. </t>
  </si>
  <si>
    <t>Kosten administratie: vergoeding aan de provincie omdat die de administratie doet.</t>
  </si>
  <si>
    <t xml:space="preserve">Ontvangen heffing. </t>
  </si>
  <si>
    <t>2002-2003</t>
  </si>
  <si>
    <t xml:space="preserve">Onttrekking aan de voorziening geopende stortplaats: i.v.m. teruggave a.g.v. overschot. </t>
  </si>
  <si>
    <t>Uitgangspunten ramingen 2005:</t>
  </si>
  <si>
    <t>Bij het uitzetten van gelden op de lange markt - niet zijnde de onderhandse markt - moet een derde worden ingeschakeld. De kosten van handelen en bewaren door die derde worden geraamd op 4 promille over het in totaal uitgezette bedrag.</t>
  </si>
  <si>
    <t>Loon-/prijsstijging: 2,5%</t>
  </si>
  <si>
    <t>Loon-/prijsstijging: 2,5%.</t>
  </si>
  <si>
    <t>Betreft vergoeding aan voorzitter en leden. Uitgegaan van in totaal 3 vergaderingen in 2005. Rekening gehouden met een prijscorrectie van 2,5%.</t>
  </si>
  <si>
    <t>Geraamd wordt, dat per vergadering van de adviescommissie 3 werkdagen nodig zijn voor voorbereiding, verslaglegging enz. Uitgaande van 3 vergaderingen in 2004 € 4.613 geraamd.</t>
  </si>
  <si>
    <t>Betreft vergoeding aan voorzitter en leden. Uitgegaan van in totaal 3 vergaderingen in 2004. Rekening houdend met een prijscorrectie van 2,5% t.o.v. 2003.</t>
  </si>
  <si>
    <t>Niet van toepassing. Er zijn middelen beschikbaar. Een deel daarvan zal op de rekening-courant blijven staan.</t>
  </si>
  <si>
    <t>Geen uitbesteding, daardoor geen kosten</t>
  </si>
  <si>
    <t>d. aankoopkosten</t>
  </si>
  <si>
    <t>e. bewaarloon</t>
  </si>
  <si>
    <t>f. kosten provincie (vergoeding) Art. 15.47, lid 7 onder b WM.</t>
  </si>
  <si>
    <t>g. koersverschil</t>
  </si>
  <si>
    <t>h. afschrijving agio/disagio</t>
  </si>
  <si>
    <t xml:space="preserve">Dit doet zich voor als gelden worden uitgezet tegen lagere of hogere rente dan de marktrente. </t>
  </si>
  <si>
    <t>Rente over totaalvermogen per 31-12-2004 en het heffingsbedrag over 2004, gerekend van 01-04-2005 t/m 31-12-2005 tegen 5,06%.</t>
  </si>
  <si>
    <t>N.B. Het treasuryresultaat (saldo) wordt verminderd met de gemaakte kosten (advies-, bemiddeling-, provincie) verdeeld over de algemene reserve en de voorzieningen naar rato van de omvang.</t>
  </si>
  <si>
    <t>Dit resultaat moet worden verdeeld over algemene reserve en de voorziening open stortplaats naar rato van de omvang daarvan. Aangezien er nog geen algemene reserve is wordt het totaalresultaat aan deze voorziening toegevoegd.</t>
  </si>
  <si>
    <t>Rente over totaalvermogen per 31-12-2003 en het heffingsbedrag over 2003, gerekend van 01-04-2004 t/m 31-12-2004 tegen 5,06%.</t>
  </si>
  <si>
    <t>Geen uitbesteding, daardoor geen kosten.</t>
  </si>
  <si>
    <t>Geen bemiddeling, daardoor geen bemiddelingskosten.</t>
  </si>
  <si>
    <t>Kosten aandelen + obligaties uitzetting ontvangen heffing.</t>
  </si>
  <si>
    <t>Kosten aanhouden effectendepot door bank.</t>
  </si>
  <si>
    <t>Koersontwikkeling, doet zich in de jaarrekening voor.</t>
  </si>
  <si>
    <t>Heffing over stort in 2005, te ontvangen in 2006. Hierbij is uitgegaan van 154.000 ton.</t>
  </si>
  <si>
    <r>
      <t>Storting in voorziening geopende stortplaats:</t>
    </r>
    <r>
      <rPr>
        <sz val="8"/>
        <rFont val="Arial"/>
        <family val="2"/>
      </rPr>
      <t xml:space="preserve"> ontvangen heffing excl. opslag monitoring. Art. 11,lid 2 Reglement.</t>
    </r>
  </si>
  <si>
    <r>
      <t>Ontvangen heffing</t>
    </r>
    <r>
      <rPr>
        <sz val="8"/>
        <rFont val="Arial"/>
        <family val="2"/>
      </rPr>
      <t>. Is uitkering van de provincie. Betreft heffing open stortplaats onder aftrek van opslag monitoring gesloten stortplaatsen.</t>
    </r>
  </si>
  <si>
    <r>
      <t>Storting in voorziening geopende stortplaats:</t>
    </r>
    <r>
      <rPr>
        <sz val="8"/>
        <rFont val="Arial"/>
        <family val="2"/>
      </rPr>
      <t xml:space="preserve"> treasuryresultaat minus kosten</t>
    </r>
  </si>
  <si>
    <r>
      <t xml:space="preserve">Onttrekking aan de voorziening geopende stortplaats: </t>
    </r>
    <r>
      <rPr>
        <sz val="8"/>
        <rFont val="Arial"/>
        <family val="2"/>
      </rPr>
      <t xml:space="preserve">i.v.m. teruggave a.g.v. overschot. </t>
    </r>
  </si>
  <si>
    <r>
      <t>Storting in voorziening gesloten stortplaats:</t>
    </r>
    <r>
      <rPr>
        <sz val="8"/>
        <rFont val="Arial"/>
        <family val="2"/>
      </rPr>
      <t xml:space="preserve"> Tekortaanvulling. Art. 11, lid 3 onder b Reglement. N.v.t.</t>
    </r>
  </si>
  <si>
    <r>
      <t>Advieskosten derden</t>
    </r>
    <r>
      <rPr>
        <sz val="8"/>
        <rFont val="Arial"/>
        <family val="2"/>
      </rPr>
      <t>. Betreft advisering over het beheer van het fonds.</t>
    </r>
  </si>
  <si>
    <r>
      <t>Kosten secretariaa</t>
    </r>
    <r>
      <rPr>
        <sz val="8"/>
        <rFont val="Arial"/>
        <family val="2"/>
      </rPr>
      <t xml:space="preserve">t: vergoeding aan de provincie. </t>
    </r>
  </si>
  <si>
    <r>
      <t>Kosten administratie</t>
    </r>
    <r>
      <rPr>
        <sz val="8"/>
        <rFont val="Arial"/>
        <family val="2"/>
      </rPr>
      <t>: vergoeding aan de provincie omdat die de administratie doet.</t>
    </r>
  </si>
  <si>
    <r>
      <t>Kosten verzekering</t>
    </r>
    <r>
      <rPr>
        <sz val="8"/>
        <rFont val="Arial"/>
        <family val="2"/>
      </rPr>
      <t xml:space="preserve"> aansprakelijkheid. Zie art. 15.47, lid 7 onder c WM.</t>
    </r>
  </si>
  <si>
    <r>
      <t>Kosten treasury</t>
    </r>
    <r>
      <rPr>
        <sz val="8"/>
        <rFont val="Arial"/>
        <family val="2"/>
      </rPr>
      <t>:</t>
    </r>
  </si>
  <si>
    <r>
      <t>Opbrengsten treasury</t>
    </r>
    <r>
      <rPr>
        <sz val="8"/>
        <rFont val="Arial"/>
        <family val="2"/>
      </rPr>
      <t>:</t>
    </r>
  </si>
  <si>
    <r>
      <t>Kosten nazorg gesloten stortplaats</t>
    </r>
    <r>
      <rPr>
        <sz val="8"/>
        <rFont val="Arial"/>
        <family val="2"/>
      </rPr>
      <t>. Betreft vergoeding aan de provincie. Nog niet van toepassing. Komt t.z.t. ten laste van de voorziening. Loopt niet over de exploitatie.</t>
    </r>
  </si>
  <si>
    <t>Storting in egalisatiereserve: resultaat exploitatie lopend jaar</t>
  </si>
  <si>
    <t>Storting Algemene reserve:</t>
  </si>
  <si>
    <t>Onttrekking aan egalisatiereserve: nadelig exploitatie resultaat</t>
  </si>
  <si>
    <t>b. waardevermeerding aandelen</t>
  </si>
  <si>
    <t>Opbouw doelvermogen bij 5% effectieve rente</t>
  </si>
  <si>
    <t>jaar</t>
  </si>
  <si>
    <t>rente  opbouw</t>
  </si>
  <si>
    <t>rente teruggerekend</t>
  </si>
  <si>
    <t>Rendement</t>
  </si>
  <si>
    <t>Stand</t>
  </si>
  <si>
    <t>Rendament</t>
  </si>
  <si>
    <t>(Dis)agio obligaties</t>
  </si>
  <si>
    <t>Dis agio</t>
  </si>
  <si>
    <t>Obl. AAB BWF 11 (5,625%)</t>
  </si>
  <si>
    <t>Obl. Allianz Fin12 (5,625%)</t>
  </si>
  <si>
    <t>Obl. BNG 13 (5,375%)</t>
  </si>
  <si>
    <t>Obl. Ing Groep 09 (5,5 %)</t>
  </si>
  <si>
    <t>Obl. VAR AAB IPN 13</t>
  </si>
  <si>
    <t>04--03-13</t>
  </si>
  <si>
    <t>Obl. Fortis BK 14 (4,625%)</t>
  </si>
  <si>
    <t>Obl. HBOS Treas 10 (3,375%)</t>
  </si>
  <si>
    <t>Obl. Robeco div obl 05/15</t>
  </si>
  <si>
    <t>Stand 31-12</t>
  </si>
  <si>
    <t>Storting in voorziening geopende stortplaats: treasuryresultaat (5%)</t>
  </si>
  <si>
    <t>Opbrengst treasury:</t>
  </si>
  <si>
    <t>b. waardevermeerdering aandelen</t>
  </si>
  <si>
    <t>Storting in Algemene reserve</t>
  </si>
  <si>
    <t>Storting in Egalisatiereserve</t>
  </si>
  <si>
    <t>Rentebijschrijving van 01-01-2006 t/m 31-12-2006 over het doelvermogen per 31-12-2005.</t>
  </si>
  <si>
    <t>Onttrekking van Egalisatiereserve</t>
  </si>
  <si>
    <t>Onttrekking van Algemene reserve</t>
  </si>
  <si>
    <r>
      <t>Ontvangen heffing</t>
    </r>
    <r>
      <rPr>
        <sz val="10"/>
        <rFont val="Times New Roman"/>
        <family val="1"/>
      </rPr>
      <t>. Is uitkering van de provincie. Betreft heffing open stortplaats onder aftrek van opslag monitoring gesloten stortplaatsen.</t>
    </r>
  </si>
  <si>
    <r>
      <t>Advieskosten derden</t>
    </r>
    <r>
      <rPr>
        <sz val="10"/>
        <rFont val="Times New Roman"/>
        <family val="1"/>
      </rPr>
      <t>. Betreft advisering over het beheer van het fonds.</t>
    </r>
  </si>
  <si>
    <r>
      <t xml:space="preserve">Onttrekking aan de voorziening geopende stortplaats: </t>
    </r>
    <r>
      <rPr>
        <sz val="10"/>
        <rFont val="Times New Roman"/>
        <family val="1"/>
      </rPr>
      <t xml:space="preserve">i.v.m. teruggave a.g.v. overschot. </t>
    </r>
  </si>
  <si>
    <r>
      <t>Kosten secretariaa</t>
    </r>
    <r>
      <rPr>
        <sz val="10"/>
        <rFont val="Times New Roman"/>
        <family val="1"/>
      </rPr>
      <t xml:space="preserve">t: vergoeding aan de provincie. </t>
    </r>
  </si>
  <si>
    <r>
      <t>Kosten administratie</t>
    </r>
    <r>
      <rPr>
        <sz val="10"/>
        <rFont val="Times New Roman"/>
        <family val="1"/>
      </rPr>
      <t>: vergoeding aan de provincie omdat die de administratie doet.</t>
    </r>
  </si>
  <si>
    <r>
      <t>Kosten treasury</t>
    </r>
    <r>
      <rPr>
        <b/>
        <sz val="10"/>
        <rFont val="Times New Roman"/>
        <family val="1"/>
      </rPr>
      <t>:</t>
    </r>
  </si>
  <si>
    <r>
      <t>Storting in voorziening geopende stortplaats:</t>
    </r>
    <r>
      <rPr>
        <sz val="10"/>
        <rFont val="Times New Roman"/>
        <family val="1"/>
      </rPr>
      <t xml:space="preserve"> ontvangen heffing excl. opslag monitoring. Art. 11,lid 2 Reglement.</t>
    </r>
  </si>
  <si>
    <r>
      <t>Storting in voorziening geopende stortplaats:</t>
    </r>
    <r>
      <rPr>
        <sz val="10"/>
        <rFont val="Times New Roman"/>
        <family val="1"/>
      </rPr>
      <t xml:space="preserve"> treasuryresultaat (5%)</t>
    </r>
  </si>
  <si>
    <r>
      <t>Storting in voorziening gesloten stortplaats:</t>
    </r>
    <r>
      <rPr>
        <sz val="10"/>
        <rFont val="Times New Roman"/>
        <family val="1"/>
      </rPr>
      <t xml:space="preserve"> Tekortaanvulling. Art. 11, lid 3 onder b Reglement. N.v.t.</t>
    </r>
  </si>
  <si>
    <r>
      <t>Kosten verzekering</t>
    </r>
    <r>
      <rPr>
        <sz val="10"/>
        <rFont val="Times New Roman"/>
        <family val="1"/>
      </rPr>
      <t xml:space="preserve"> aansprakelijkheid. Zie art. 15.47, lid 7 onder c WM.</t>
    </r>
  </si>
  <si>
    <t>Voorziening</t>
  </si>
  <si>
    <t>Beschikbaar vermogen  per 01-01</t>
  </si>
  <si>
    <t>Toename vermogen</t>
  </si>
  <si>
    <t>Totaal vermogen per 31-12</t>
  </si>
  <si>
    <t>Egalisatiereserve</t>
  </si>
  <si>
    <t>Dit is het op basis van het doelvermogen berekende treasuryresultaat over het totaal vermogen van de voorziening per 31-12 van het voorgaande boekjaar.</t>
  </si>
  <si>
    <t>Tekort aanvulling voorziening gesloten stortplaatsen. Hiervan is op dit moment nog geen sprake.</t>
  </si>
  <si>
    <t xml:space="preserve">Betreft heffing open stortplaats. </t>
  </si>
  <si>
    <t>nvt Bij sluiting stortplaats pas aan de orde</t>
  </si>
  <si>
    <t>Waardevermeerdering over het totale vermogen op 31 december van het lopend jaar.</t>
  </si>
  <si>
    <t xml:space="preserve">Betreft het opstellen en bewaken van de begroting, het voeren van de administratie (incl. backoffice), het opstellen van tussentijdse rapportages en van de jaarrekening/jaarverslag. </t>
  </si>
  <si>
    <t>a. rente obligaties</t>
  </si>
  <si>
    <t>Onttrekking aan algemene reserve</t>
  </si>
  <si>
    <t>Voorziening per 31-12 van het jaar</t>
  </si>
  <si>
    <t>Dit omvat het positieve resultaat van de exploitatie van het huidige boekjaar.</t>
  </si>
  <si>
    <t>Dit omvat het nadelige resultaat van de exploitatie van het huidige boekjaar.</t>
  </si>
  <si>
    <r>
      <t>kosten provincie (vergoeding)</t>
    </r>
    <r>
      <rPr>
        <sz val="10"/>
        <rFont val="Times New Roman"/>
        <family val="1"/>
      </rPr>
      <t xml:space="preserve"> Art. 15.47, lid 7 onder b WM.</t>
    </r>
  </si>
  <si>
    <t>Betreft vergoeding aan voorzitter en leden. Uitgegaan van in totaal2 vergaderingen in het jaar. Rekening gehouden met een prijscorrectie van 2,5%.</t>
  </si>
  <si>
    <t>Geraamd wordt, dat per vergadering van de adviescommissie 3 werkdagen nodig zijn voor voorbereiding, verslaglegging enz. Uitgegaan van 2 vergaderingen in het jaar.</t>
  </si>
  <si>
    <t>Uitgangspunten ramingen voorgaand jaar:</t>
  </si>
  <si>
    <t>Egalisatiereserve per 01-01 van het jaar</t>
  </si>
  <si>
    <t>Rentebijschrijving van 01-01-2007 t/m 31-12-2007 over het doelvermogen per 31-12-2006.</t>
  </si>
  <si>
    <t>Betreft vergoeding aan voorzitter en leden. Uitgegaan van in totaal 2 vergaderingen in het jaar. Rekening gehouden met een prijscorrectie van 2,5%.</t>
  </si>
  <si>
    <t>Rentebijschrijving van 01-01-2008 t/m 31-12-2008 over het doelvermogen per 31-12-2007.</t>
  </si>
  <si>
    <t>Rentebijschrijving van 01-01-2009 t/m 31-12-2009 over het doelvermogen per 31-12-2008.</t>
  </si>
  <si>
    <t>Rentebijschrijving van 01-01-2010 t/m 31-12-2010 over het doelvermogen per 31-12-2009.</t>
  </si>
  <si>
    <t>Rentebijschrijving van 01-01-2011 t/m 31-12-2011 over het doelvermogen per 31-12-2010.</t>
  </si>
  <si>
    <t>Rentebijschrijving van 01-01-2012 t/m 31-12-2012 over het doelvermogen per 31-12-2011.</t>
  </si>
  <si>
    <t>Rentebijschrijving van 01-01-2013 t/m 31-12-2013 over het doelvermogen per 31-12-2012.</t>
  </si>
  <si>
    <t>Rentebijschrijving van 01-01-2014 t/m 31-12-2014 over het doelvermogen per 31-12-2013.</t>
  </si>
  <si>
    <t>Rentebijschrijving van 01-01-2015 t/m 31-12-2015 over het doelvermogen per 31-12-2014.</t>
  </si>
  <si>
    <t>Rentebijschrijving van 01-01-2016 t/m 31-12-2016 over het doelvermogen per 31-12-2015.</t>
  </si>
  <si>
    <t>Rentebijschrijving van 01-01-2017 t/m 31-12-2017 over het doelvermogen per 31-12-2016.</t>
  </si>
  <si>
    <t>Rentebijschrijving van 01-01-2018 t/m 31-12-2018 over het doelvermogen per 31-12-2017.</t>
  </si>
  <si>
    <r>
      <t>Ontvangen heffing</t>
    </r>
    <r>
      <rPr>
        <sz val="12"/>
        <rFont val="Times New Roman"/>
        <family val="1"/>
      </rPr>
      <t>. Is uitkering van de provincie. Betreft heffing open stortplaats onder aftrek van opslag monitoring gesloten stortplaatsen.</t>
    </r>
  </si>
  <si>
    <r>
      <t>Advieskosten derden</t>
    </r>
    <r>
      <rPr>
        <sz val="12"/>
        <rFont val="Times New Roman"/>
        <family val="1"/>
      </rPr>
      <t>. Betreft advisering over het beheer van het fonds.</t>
    </r>
  </si>
  <si>
    <r>
      <t xml:space="preserve">Onttrekking aan de voorziening geopende stortplaats: </t>
    </r>
    <r>
      <rPr>
        <sz val="12"/>
        <rFont val="Times New Roman"/>
        <family val="1"/>
      </rPr>
      <t xml:space="preserve">i.v.m. teruggave a.g.v. overschot. </t>
    </r>
  </si>
  <si>
    <r>
      <t>Kosten secretariaa</t>
    </r>
    <r>
      <rPr>
        <sz val="12"/>
        <rFont val="Times New Roman"/>
        <family val="1"/>
      </rPr>
      <t xml:space="preserve">t: vergoeding aan de provincie. </t>
    </r>
  </si>
  <si>
    <r>
      <t>Kosten administratie</t>
    </r>
    <r>
      <rPr>
        <sz val="12"/>
        <rFont val="Times New Roman"/>
        <family val="1"/>
      </rPr>
      <t>: vergoeding aan de provincie omdat die de administratie doet.</t>
    </r>
  </si>
  <si>
    <r>
      <t>kosten provincie (vergoeding)</t>
    </r>
    <r>
      <rPr>
        <sz val="12"/>
        <rFont val="Times New Roman"/>
        <family val="1"/>
      </rPr>
      <t xml:space="preserve"> Art. 15.47, lid 7 onder b WM.</t>
    </r>
  </si>
  <si>
    <r>
      <t>Kosten treasury</t>
    </r>
    <r>
      <rPr>
        <b/>
        <sz val="12"/>
        <rFont val="Times New Roman"/>
        <family val="1"/>
      </rPr>
      <t>:</t>
    </r>
  </si>
  <si>
    <r>
      <t>Storting in voorziening geopende stortplaats:</t>
    </r>
    <r>
      <rPr>
        <sz val="12"/>
        <rFont val="Times New Roman"/>
        <family val="1"/>
      </rPr>
      <t xml:space="preserve"> ontvangen heffing excl. opslag monitoring. Art. 11,lid 2 Reglement.</t>
    </r>
  </si>
  <si>
    <r>
      <t>Storting in voorziening geopende stortplaats:</t>
    </r>
    <r>
      <rPr>
        <sz val="12"/>
        <rFont val="Times New Roman"/>
        <family val="1"/>
      </rPr>
      <t xml:space="preserve"> treasuryresultaat (5%)</t>
    </r>
  </si>
  <si>
    <r>
      <t>Storting in voorziening gesloten stortplaats:</t>
    </r>
    <r>
      <rPr>
        <sz val="12"/>
        <rFont val="Times New Roman"/>
        <family val="1"/>
      </rPr>
      <t xml:space="preserve"> Tekortaanvulling. Art. 11, lid 3 onder b Reglement. N.v.t.</t>
    </r>
  </si>
  <si>
    <r>
      <t>Kosten verzekering</t>
    </r>
    <r>
      <rPr>
        <sz val="12"/>
        <rFont val="Times New Roman"/>
        <family val="1"/>
      </rPr>
      <t xml:space="preserve"> aansprakelijkheid. Zie art. 15.47, lid 7 onder c WM.</t>
    </r>
  </si>
  <si>
    <t>Rentebijschrijving van 01-01-2019 t/m 31-12-2019 over het doelvermogen per 31-12-2018.</t>
  </si>
  <si>
    <t>Betreft vergoeding aan voorzitter en leden. Uitgegaan van in totaal 1 vergadering in het jaar. Rekening gehouden met een prijscorrectie van 2,5%.</t>
  </si>
  <si>
    <t>Geraamd wordt dat per vergadering van de adviescommissie 3 werkdagen nodig zijn voor voorbereiding, verslaglegging enz. en voor een schriftelijke raadpleging 1 werkdag. Uitgegaan van 1 vergadering en 1 schriftelijke raadpleging in het jaar.</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</si>
</sst>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dd/mm/yy"/>
  </numFmts>
  <fonts count="21">
    <font>
      <sz val="10"/>
      <name val="Arial"/>
      <family val="0"/>
    </font>
    <font>
      <b/>
      <sz val="10"/>
      <name val="Arial"/>
      <family val="2"/>
    </font>
    <font>
      <u val="single"/>
      <sz val="10"/>
      <name val="Arial"/>
      <family val="2"/>
    </font>
    <font>
      <u val="single"/>
      <sz val="10"/>
      <color indexed="12"/>
      <name val="Arial"/>
      <family val="0"/>
    </font>
    <font>
      <u val="single"/>
      <sz val="10"/>
      <color indexed="36"/>
      <name val="Arial"/>
      <family val="0"/>
    </font>
    <font>
      <b/>
      <sz val="8"/>
      <name val="Arial"/>
      <family val="2"/>
    </font>
    <font>
      <sz val="8"/>
      <name val="Arial"/>
      <family val="2"/>
    </font>
    <font>
      <u val="single"/>
      <sz val="8"/>
      <name val="Arial"/>
      <family val="2"/>
    </font>
    <font>
      <b/>
      <sz val="12"/>
      <name val="Arial"/>
      <family val="2"/>
    </font>
    <font>
      <b/>
      <sz val="14"/>
      <name val="Arial"/>
      <family val="2"/>
    </font>
    <font>
      <sz val="14"/>
      <name val="Times New Roman"/>
      <family val="0"/>
    </font>
    <font>
      <b/>
      <sz val="12"/>
      <name val="Times New Roman"/>
      <family val="1"/>
    </font>
    <font>
      <sz val="12"/>
      <name val="Times New Roman"/>
      <family val="0"/>
    </font>
    <font>
      <sz val="12"/>
      <name val="SWISS"/>
      <family val="0"/>
    </font>
    <font>
      <b/>
      <sz val="10"/>
      <name val="Times New Roman"/>
      <family val="1"/>
    </font>
    <font>
      <u val="single"/>
      <sz val="10"/>
      <name val="Times New Roman"/>
      <family val="1"/>
    </font>
    <font>
      <sz val="10"/>
      <name val="Times New Roman"/>
      <family val="1"/>
    </font>
    <font>
      <b/>
      <u val="single"/>
      <sz val="10"/>
      <name val="Times New Roman"/>
      <family val="1"/>
    </font>
    <font>
      <b/>
      <sz val="11"/>
      <name val="Times New Roman"/>
      <family val="1"/>
    </font>
    <font>
      <u val="single"/>
      <sz val="12"/>
      <name val="Times New Roman"/>
      <family val="1"/>
    </font>
    <font>
      <b/>
      <u val="single"/>
      <sz val="12"/>
      <name val="Times New Roman"/>
      <family val="1"/>
    </font>
  </fonts>
  <fills count="3">
    <fill>
      <patternFill/>
    </fill>
    <fill>
      <patternFill patternType="gray125"/>
    </fill>
    <fill>
      <patternFill patternType="solid">
        <fgColor indexed="9"/>
        <bgColor indexed="64"/>
      </patternFill>
    </fill>
  </fills>
  <borders count="26">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Font="1" applyAlignment="1">
      <alignment vertical="top" wrapText="1"/>
    </xf>
    <xf numFmtId="3" fontId="1" fillId="0" borderId="0" xfId="0" applyNumberFormat="1" applyFont="1" applyAlignment="1">
      <alignment vertical="top" wrapText="1"/>
    </xf>
    <xf numFmtId="3" fontId="0" fillId="0" borderId="0" xfId="0" applyNumberFormat="1" applyAlignment="1">
      <alignment vertical="top" wrapText="1"/>
    </xf>
    <xf numFmtId="4" fontId="0" fillId="0" borderId="0" xfId="0" applyNumberFormat="1" applyAlignment="1">
      <alignment horizontal="left" vertical="top" wrapText="1"/>
    </xf>
    <xf numFmtId="3" fontId="0" fillId="0" borderId="0" xfId="0" applyNumberFormat="1" applyAlignment="1">
      <alignment horizontal="right" vertical="top" wrapText="1"/>
    </xf>
    <xf numFmtId="3" fontId="1" fillId="0" borderId="0" xfId="0" applyNumberFormat="1" applyFont="1" applyAlignment="1">
      <alignment horizontal="right" vertical="top" wrapText="1"/>
    </xf>
    <xf numFmtId="3" fontId="1"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0" applyNumberFormat="1" applyFont="1" applyAlignment="1">
      <alignment horizontal="right" vertical="top" wrapText="1"/>
    </xf>
    <xf numFmtId="0" fontId="0" fillId="0" borderId="0" xfId="0" applyFont="1" applyAlignment="1">
      <alignment/>
    </xf>
    <xf numFmtId="0" fontId="1" fillId="0" borderId="0" xfId="0" applyFont="1" applyAlignment="1">
      <alignment horizontal="center" vertical="top" wrapText="1"/>
    </xf>
    <xf numFmtId="3" fontId="0" fillId="0" borderId="0" xfId="0" applyNumberFormat="1" applyFill="1" applyBorder="1" applyAlignment="1">
      <alignment vertical="top"/>
    </xf>
    <xf numFmtId="0" fontId="5" fillId="0" borderId="1" xfId="0" applyFont="1" applyBorder="1" applyAlignment="1">
      <alignment vertical="top" wrapText="1"/>
    </xf>
    <xf numFmtId="0" fontId="5" fillId="0" borderId="2" xfId="0" applyFont="1" applyBorder="1" applyAlignment="1">
      <alignment vertical="top" wrapText="1"/>
    </xf>
    <xf numFmtId="0" fontId="6" fillId="0" borderId="0" xfId="0" applyFont="1" applyBorder="1" applyAlignment="1">
      <alignment vertical="top" wrapText="1"/>
    </xf>
    <xf numFmtId="0" fontId="6" fillId="0" borderId="3" xfId="0" applyFont="1" applyBorder="1" applyAlignment="1">
      <alignment vertical="top" wrapText="1"/>
    </xf>
    <xf numFmtId="0" fontId="5" fillId="0" borderId="0" xfId="0" applyFont="1" applyBorder="1" applyAlignment="1">
      <alignment vertical="top" wrapText="1"/>
    </xf>
    <xf numFmtId="0" fontId="5" fillId="0" borderId="3" xfId="0" applyFont="1" applyBorder="1" applyAlignment="1">
      <alignment vertical="top" wrapText="1"/>
    </xf>
    <xf numFmtId="0" fontId="6" fillId="0" borderId="0" xfId="0" applyFont="1" applyBorder="1" applyAlignment="1">
      <alignment/>
    </xf>
    <xf numFmtId="0" fontId="5" fillId="0" borderId="0" xfId="0" applyFont="1" applyBorder="1" applyAlignment="1">
      <alignment/>
    </xf>
    <xf numFmtId="0" fontId="5" fillId="0" borderId="4" xfId="0" applyFont="1" applyBorder="1" applyAlignment="1">
      <alignment vertical="top" wrapText="1"/>
    </xf>
    <xf numFmtId="0" fontId="5" fillId="0" borderId="5" xfId="0" applyFont="1" applyBorder="1" applyAlignment="1">
      <alignment vertical="top" wrapText="1"/>
    </xf>
    <xf numFmtId="4" fontId="6" fillId="0" borderId="2" xfId="0" applyNumberFormat="1" applyFont="1" applyBorder="1" applyAlignment="1">
      <alignment horizontal="lef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6" xfId="0" applyFont="1" applyBorder="1" applyAlignment="1">
      <alignment horizontal="center" vertical="top" wrapText="1"/>
    </xf>
    <xf numFmtId="0" fontId="6"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5" fillId="0" borderId="6" xfId="0" applyFont="1" applyBorder="1" applyAlignment="1">
      <alignment vertical="top" wrapText="1"/>
    </xf>
    <xf numFmtId="0" fontId="6" fillId="0" borderId="7" xfId="0" applyFont="1" applyBorder="1" applyAlignment="1">
      <alignment/>
    </xf>
    <xf numFmtId="0" fontId="6" fillId="0" borderId="3" xfId="0" applyFont="1" applyBorder="1" applyAlignment="1">
      <alignment/>
    </xf>
    <xf numFmtId="0" fontId="5" fillId="0" borderId="3" xfId="0" applyFont="1" applyBorder="1" applyAlignment="1">
      <alignment/>
    </xf>
    <xf numFmtId="0" fontId="5" fillId="0" borderId="9" xfId="0" applyFont="1" applyBorder="1" applyAlignment="1">
      <alignment/>
    </xf>
    <xf numFmtId="0" fontId="5" fillId="0" borderId="10" xfId="0" applyFont="1" applyBorder="1" applyAlignment="1">
      <alignment/>
    </xf>
    <xf numFmtId="3" fontId="6" fillId="0" borderId="9" xfId="0" applyNumberFormat="1" applyFont="1" applyBorder="1" applyAlignment="1">
      <alignment vertical="top" wrapText="1"/>
    </xf>
    <xf numFmtId="3" fontId="6" fillId="0" borderId="10" xfId="0" applyNumberFormat="1" applyFont="1" applyBorder="1" applyAlignment="1">
      <alignment vertical="top" wrapText="1"/>
    </xf>
    <xf numFmtId="3" fontId="5" fillId="0" borderId="11" xfId="0" applyNumberFormat="1" applyFont="1" applyBorder="1" applyAlignment="1">
      <alignment vertical="top" wrapText="1"/>
    </xf>
    <xf numFmtId="3" fontId="5" fillId="0" borderId="12" xfId="0" applyNumberFormat="1" applyFont="1" applyBorder="1" applyAlignment="1">
      <alignment vertical="top" wrapText="1"/>
    </xf>
    <xf numFmtId="3" fontId="5" fillId="0" borderId="13" xfId="0" applyNumberFormat="1" applyFont="1" applyBorder="1" applyAlignment="1">
      <alignment vertical="top" wrapText="1"/>
    </xf>
    <xf numFmtId="3" fontId="5" fillId="0" borderId="14" xfId="0" applyNumberFormat="1" applyFont="1" applyBorder="1" applyAlignment="1">
      <alignment vertical="top" wrapText="1"/>
    </xf>
    <xf numFmtId="3" fontId="6" fillId="0" borderId="11" xfId="0" applyNumberFormat="1" applyFont="1" applyBorder="1" applyAlignment="1">
      <alignment vertical="top" wrapText="1"/>
    </xf>
    <xf numFmtId="3" fontId="6" fillId="0" borderId="12" xfId="0" applyNumberFormat="1" applyFont="1" applyBorder="1" applyAlignment="1">
      <alignment vertical="top" wrapText="1"/>
    </xf>
    <xf numFmtId="3" fontId="6" fillId="0" borderId="13" xfId="0" applyNumberFormat="1" applyFont="1" applyBorder="1" applyAlignment="1">
      <alignment vertical="top" wrapText="1"/>
    </xf>
    <xf numFmtId="3" fontId="6" fillId="0" borderId="14" xfId="0" applyNumberFormat="1" applyFont="1" applyBorder="1" applyAlignment="1">
      <alignment vertical="top" wrapText="1"/>
    </xf>
    <xf numFmtId="3" fontId="5" fillId="0" borderId="9" xfId="0" applyNumberFormat="1" applyFont="1" applyBorder="1" applyAlignment="1">
      <alignment vertical="top" wrapText="1"/>
    </xf>
    <xf numFmtId="3" fontId="5" fillId="0" borderId="10" xfId="0" applyNumberFormat="1" applyFont="1" applyBorder="1" applyAlignment="1">
      <alignment vertical="top" wrapText="1"/>
    </xf>
    <xf numFmtId="3" fontId="5" fillId="0" borderId="7" xfId="0" applyNumberFormat="1" applyFont="1" applyBorder="1" applyAlignment="1">
      <alignment vertical="top" wrapText="1"/>
    </xf>
    <xf numFmtId="3" fontId="5" fillId="0" borderId="9" xfId="0" applyNumberFormat="1" applyFont="1" applyBorder="1" applyAlignment="1">
      <alignment horizontal="right" vertical="top" wrapText="1"/>
    </xf>
    <xf numFmtId="3" fontId="5" fillId="0" borderId="10" xfId="0" applyNumberFormat="1" applyFont="1" applyBorder="1" applyAlignment="1">
      <alignment horizontal="right" vertical="top" wrapText="1"/>
    </xf>
    <xf numFmtId="3" fontId="6" fillId="0" borderId="9" xfId="0" applyNumberFormat="1" applyFont="1" applyBorder="1" applyAlignment="1">
      <alignment horizontal="right" vertical="top" wrapText="1"/>
    </xf>
    <xf numFmtId="3" fontId="6" fillId="0" borderId="10" xfId="0" applyNumberFormat="1" applyFont="1" applyBorder="1" applyAlignment="1">
      <alignment horizontal="right" vertical="top" wrapText="1"/>
    </xf>
    <xf numFmtId="3" fontId="5" fillId="0" borderId="11" xfId="0" applyNumberFormat="1" applyFont="1" applyBorder="1" applyAlignment="1">
      <alignment horizontal="right" vertical="top" wrapText="1"/>
    </xf>
    <xf numFmtId="3" fontId="5" fillId="0" borderId="12" xfId="0" applyNumberFormat="1" applyFont="1" applyBorder="1" applyAlignment="1">
      <alignment horizontal="right" vertical="top" wrapText="1"/>
    </xf>
    <xf numFmtId="3" fontId="5" fillId="0" borderId="13" xfId="0" applyNumberFormat="1" applyFont="1" applyBorder="1" applyAlignment="1">
      <alignment horizontal="left" vertical="top" wrapText="1"/>
    </xf>
    <xf numFmtId="3" fontId="5" fillId="0" borderId="14" xfId="0" applyNumberFormat="1" applyFont="1" applyBorder="1" applyAlignment="1">
      <alignment horizontal="left" vertical="top" wrapText="1"/>
    </xf>
    <xf numFmtId="3" fontId="6" fillId="0" borderId="9" xfId="0" applyNumberFormat="1" applyFont="1" applyFill="1" applyBorder="1" applyAlignment="1">
      <alignment vertical="top"/>
    </xf>
    <xf numFmtId="3" fontId="6" fillId="0" borderId="10" xfId="0" applyNumberFormat="1" applyFont="1" applyFill="1" applyBorder="1" applyAlignment="1">
      <alignment vertical="top"/>
    </xf>
    <xf numFmtId="3" fontId="6" fillId="0" borderId="11"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13" xfId="0" applyNumberFormat="1" applyFont="1" applyBorder="1" applyAlignment="1">
      <alignment horizontal="right" vertical="top" wrapText="1"/>
    </xf>
    <xf numFmtId="3" fontId="6" fillId="0" borderId="14" xfId="0" applyNumberFormat="1" applyFont="1" applyBorder="1" applyAlignment="1">
      <alignment horizontal="right" vertical="top" wrapText="1"/>
    </xf>
    <xf numFmtId="3" fontId="5" fillId="0" borderId="13" xfId="0" applyNumberFormat="1" applyFont="1" applyBorder="1" applyAlignment="1">
      <alignment horizontal="right" vertical="top" wrapText="1"/>
    </xf>
    <xf numFmtId="3" fontId="5" fillId="0" borderId="14" xfId="0" applyNumberFormat="1" applyFont="1" applyBorder="1" applyAlignment="1">
      <alignment horizontal="right" vertical="top" wrapText="1"/>
    </xf>
    <xf numFmtId="0" fontId="7" fillId="0" borderId="8" xfId="0" applyFont="1" applyBorder="1" applyAlignment="1">
      <alignment vertical="top" wrapText="1"/>
    </xf>
    <xf numFmtId="0" fontId="1" fillId="2" borderId="0" xfId="0" applyFont="1" applyFill="1" applyAlignment="1">
      <alignment/>
    </xf>
    <xf numFmtId="0" fontId="1" fillId="2" borderId="0" xfId="0" applyFont="1" applyFill="1" applyAlignment="1">
      <alignment vertical="top" wrapText="1"/>
    </xf>
    <xf numFmtId="3" fontId="1" fillId="2" borderId="0" xfId="0" applyNumberFormat="1" applyFont="1" applyFill="1" applyAlignment="1">
      <alignment horizontal="right" vertical="top" wrapText="1"/>
    </xf>
    <xf numFmtId="3" fontId="1" fillId="2" borderId="0" xfId="0" applyNumberFormat="1" applyFont="1" applyFill="1" applyAlignment="1">
      <alignment/>
    </xf>
    <xf numFmtId="3" fontId="1" fillId="2" borderId="0" xfId="0" applyNumberFormat="1" applyFont="1" applyFill="1" applyAlignment="1">
      <alignment vertical="top" wrapText="1"/>
    </xf>
    <xf numFmtId="3" fontId="1" fillId="2" borderId="0" xfId="0" applyNumberFormat="1" applyFont="1" applyFill="1" applyAlignment="1">
      <alignment horizontal="center" vertical="top" wrapText="1"/>
    </xf>
    <xf numFmtId="1" fontId="1" fillId="2" borderId="0" xfId="0" applyNumberFormat="1" applyFont="1" applyFill="1" applyAlignment="1">
      <alignment horizontal="center" vertical="top" wrapText="1"/>
    </xf>
    <xf numFmtId="0" fontId="0" fillId="2" borderId="0" xfId="0" applyFont="1" applyFill="1" applyAlignment="1">
      <alignment vertical="top" wrapText="1"/>
    </xf>
    <xf numFmtId="3" fontId="0" fillId="2" borderId="0" xfId="0" applyNumberFormat="1" applyFill="1" applyAlignment="1">
      <alignment vertical="top" wrapText="1"/>
    </xf>
    <xf numFmtId="0" fontId="0" fillId="2" borderId="0" xfId="0" applyFill="1" applyAlignment="1">
      <alignment vertical="top" wrapText="1"/>
    </xf>
    <xf numFmtId="3" fontId="0" fillId="2" borderId="0" xfId="0" applyNumberFormat="1" applyFill="1" applyAlignment="1">
      <alignment horizontal="right" vertical="top" wrapText="1"/>
    </xf>
    <xf numFmtId="3" fontId="0" fillId="2" borderId="0" xfId="0" applyNumberFormat="1" applyFill="1" applyAlignment="1">
      <alignment/>
    </xf>
    <xf numFmtId="0" fontId="0" fillId="2" borderId="0" xfId="0" applyFill="1" applyAlignment="1">
      <alignment/>
    </xf>
    <xf numFmtId="0" fontId="2" fillId="2" borderId="0" xfId="0" applyFont="1" applyFill="1" applyAlignment="1">
      <alignment vertical="top" wrapText="1"/>
    </xf>
    <xf numFmtId="3" fontId="1" fillId="2" borderId="0" xfId="0" applyNumberFormat="1" applyFont="1" applyFill="1" applyAlignment="1">
      <alignment horizontal="left" vertical="top" wrapText="1"/>
    </xf>
    <xf numFmtId="3" fontId="0" fillId="2" borderId="0" xfId="0" applyNumberFormat="1" applyFont="1" applyFill="1" applyAlignment="1">
      <alignment horizontal="right" vertical="top" wrapText="1"/>
    </xf>
    <xf numFmtId="0" fontId="8" fillId="2" borderId="0" xfId="0" applyFont="1" applyFill="1" applyAlignment="1">
      <alignment vertical="top" wrapText="1"/>
    </xf>
    <xf numFmtId="4" fontId="0" fillId="2" borderId="0" xfId="0" applyNumberFormat="1" applyFill="1" applyAlignment="1">
      <alignment/>
    </xf>
    <xf numFmtId="0" fontId="11" fillId="2" borderId="0" xfId="0" applyFont="1" applyFill="1" applyBorder="1" applyAlignment="1">
      <alignment horizontal="center"/>
    </xf>
    <xf numFmtId="0" fontId="11" fillId="2" borderId="0" xfId="0" applyFont="1" applyFill="1" applyAlignment="1">
      <alignment/>
    </xf>
    <xf numFmtId="0" fontId="12" fillId="2" borderId="15" xfId="0" applyFont="1" applyFill="1" applyBorder="1" applyAlignment="1">
      <alignment/>
    </xf>
    <xf numFmtId="0" fontId="12" fillId="2" borderId="3" xfId="0" applyFont="1" applyFill="1" applyBorder="1" applyAlignment="1">
      <alignment/>
    </xf>
    <xf numFmtId="0" fontId="12" fillId="2" borderId="0" xfId="0" applyFont="1" applyFill="1" applyBorder="1" applyAlignment="1">
      <alignment/>
    </xf>
    <xf numFmtId="0" fontId="12" fillId="2" borderId="0" xfId="0" applyFont="1" applyFill="1" applyAlignment="1">
      <alignment/>
    </xf>
    <xf numFmtId="0" fontId="12" fillId="2" borderId="16" xfId="0" applyFont="1" applyFill="1" applyBorder="1" applyAlignment="1">
      <alignment/>
    </xf>
    <xf numFmtId="0" fontId="12" fillId="2" borderId="5" xfId="0" applyFont="1" applyFill="1" applyBorder="1" applyAlignment="1">
      <alignment/>
    </xf>
    <xf numFmtId="4" fontId="11" fillId="2" borderId="17" xfId="0" applyNumberFormat="1" applyFont="1" applyFill="1" applyBorder="1" applyAlignment="1">
      <alignment horizontal="center"/>
    </xf>
    <xf numFmtId="4" fontId="11" fillId="2" borderId="18" xfId="0" applyNumberFormat="1" applyFont="1" applyFill="1" applyBorder="1" applyAlignment="1">
      <alignment horizontal="center"/>
    </xf>
    <xf numFmtId="16" fontId="12" fillId="2" borderId="15" xfId="0" applyNumberFormat="1" applyFont="1" applyFill="1" applyBorder="1" applyAlignment="1">
      <alignment/>
    </xf>
    <xf numFmtId="0" fontId="12" fillId="2" borderId="3" xfId="0" applyFont="1" applyFill="1" applyBorder="1" applyAlignment="1">
      <alignment horizontal="left"/>
    </xf>
    <xf numFmtId="4" fontId="11" fillId="2" borderId="6" xfId="0" applyNumberFormat="1" applyFont="1" applyFill="1" applyBorder="1" applyAlignment="1">
      <alignment horizontal="center"/>
    </xf>
    <xf numFmtId="4" fontId="11" fillId="2" borderId="3" xfId="0" applyNumberFormat="1" applyFont="1" applyFill="1" applyBorder="1" applyAlignment="1">
      <alignment horizontal="center"/>
    </xf>
    <xf numFmtId="4" fontId="11" fillId="2" borderId="6" xfId="0" applyNumberFormat="1" applyFont="1" applyFill="1" applyBorder="1" applyAlignment="1">
      <alignment horizontal="right"/>
    </xf>
    <xf numFmtId="4" fontId="12" fillId="2" borderId="3" xfId="0" applyNumberFormat="1" applyFont="1" applyFill="1" applyBorder="1" applyAlignment="1">
      <alignment horizontal="right"/>
    </xf>
    <xf numFmtId="3" fontId="12" fillId="2" borderId="7" xfId="0" applyNumberFormat="1" applyFont="1" applyFill="1" applyBorder="1" applyAlignment="1">
      <alignment horizontal="center"/>
    </xf>
    <xf numFmtId="3" fontId="12" fillId="2" borderId="19" xfId="0" applyNumberFormat="1" applyFont="1" applyFill="1" applyBorder="1" applyAlignment="1">
      <alignment horizontal="right"/>
    </xf>
    <xf numFmtId="3" fontId="12" fillId="2" borderId="0" xfId="0" applyNumberFormat="1" applyFont="1" applyFill="1" applyAlignment="1">
      <alignment/>
    </xf>
    <xf numFmtId="4" fontId="12" fillId="2" borderId="7" xfId="0" applyNumberFormat="1" applyFont="1" applyFill="1" applyBorder="1" applyAlignment="1">
      <alignment horizontal="right"/>
    </xf>
    <xf numFmtId="4" fontId="12" fillId="2" borderId="19" xfId="0" applyNumberFormat="1" applyFont="1" applyFill="1" applyBorder="1" applyAlignment="1">
      <alignment horizontal="right"/>
    </xf>
    <xf numFmtId="3" fontId="12" fillId="2" borderId="19" xfId="0" applyNumberFormat="1" applyFont="1" applyFill="1" applyBorder="1" applyAlignment="1">
      <alignment/>
    </xf>
    <xf numFmtId="16" fontId="12" fillId="2" borderId="16" xfId="0" applyNumberFormat="1" applyFont="1" applyFill="1" applyBorder="1" applyAlignment="1">
      <alignment/>
    </xf>
    <xf numFmtId="0" fontId="12" fillId="2" borderId="5" xfId="0" applyFont="1" applyFill="1" applyBorder="1" applyAlignment="1">
      <alignment horizontal="left"/>
    </xf>
    <xf numFmtId="3" fontId="12" fillId="2" borderId="8" xfId="0" applyNumberFormat="1" applyFont="1" applyFill="1" applyBorder="1" applyAlignment="1">
      <alignment horizontal="center"/>
    </xf>
    <xf numFmtId="3" fontId="12" fillId="2" borderId="20" xfId="0" applyNumberFormat="1" applyFont="1" applyFill="1" applyBorder="1" applyAlignment="1">
      <alignment/>
    </xf>
    <xf numFmtId="4" fontId="12" fillId="2" borderId="8" xfId="0" applyNumberFormat="1" applyFont="1" applyFill="1" applyBorder="1" applyAlignment="1">
      <alignment horizontal="right"/>
    </xf>
    <xf numFmtId="4" fontId="12" fillId="2" borderId="20" xfId="0" applyNumberFormat="1" applyFont="1" applyFill="1" applyBorder="1" applyAlignment="1">
      <alignment horizontal="right"/>
    </xf>
    <xf numFmtId="3" fontId="0" fillId="2" borderId="0" xfId="0" applyNumberFormat="1" applyFill="1" applyAlignment="1">
      <alignment vertical="top"/>
    </xf>
    <xf numFmtId="3" fontId="1" fillId="2" borderId="0" xfId="0" applyNumberFormat="1" applyFont="1" applyFill="1" applyAlignment="1">
      <alignment vertical="top"/>
    </xf>
    <xf numFmtId="3" fontId="1" fillId="2" borderId="21" xfId="0" applyNumberFormat="1" applyFont="1" applyFill="1" applyBorder="1" applyAlignment="1">
      <alignment vertical="top"/>
    </xf>
    <xf numFmtId="3" fontId="0" fillId="2" borderId="0" xfId="0" applyNumberFormat="1" applyFont="1" applyFill="1" applyAlignment="1">
      <alignment vertical="top"/>
    </xf>
    <xf numFmtId="3" fontId="0" fillId="2" borderId="0" xfId="0" applyNumberFormat="1" applyFill="1" applyAlignment="1">
      <alignment horizontal="center" vertical="top"/>
    </xf>
    <xf numFmtId="49" fontId="11" fillId="0" borderId="4" xfId="0" applyNumberFormat="1" applyFont="1" applyFill="1" applyBorder="1" applyAlignment="1" applyProtection="1">
      <alignment/>
      <protection/>
    </xf>
    <xf numFmtId="0" fontId="12" fillId="0" borderId="4" xfId="0" applyFont="1" applyFill="1" applyBorder="1" applyAlignment="1" applyProtection="1">
      <alignment/>
      <protection/>
    </xf>
    <xf numFmtId="0" fontId="13" fillId="0" borderId="4" xfId="0" applyFont="1" applyFill="1" applyBorder="1" applyAlignment="1">
      <alignment horizontal="center"/>
    </xf>
    <xf numFmtId="0" fontId="0" fillId="0" borderId="4" xfId="0" applyFill="1" applyBorder="1" applyAlignment="1">
      <alignment/>
    </xf>
    <xf numFmtId="4" fontId="12" fillId="0" borderId="0" xfId="0" applyNumberFormat="1" applyFont="1" applyFill="1" applyBorder="1" applyAlignment="1" applyProtection="1">
      <alignment/>
      <protection/>
    </xf>
    <xf numFmtId="170" fontId="12" fillId="0" borderId="0" xfId="0" applyNumberFormat="1" applyFont="1" applyFill="1" applyBorder="1" applyAlignment="1" applyProtection="1">
      <alignment horizontal="right"/>
      <protection/>
    </xf>
    <xf numFmtId="4" fontId="12" fillId="0" borderId="0" xfId="0" applyNumberFormat="1" applyFont="1" applyFill="1" applyBorder="1" applyAlignment="1" applyProtection="1">
      <alignment horizontal="right"/>
      <protection/>
    </xf>
    <xf numFmtId="4"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lignment horizontal="right"/>
    </xf>
    <xf numFmtId="4" fontId="11" fillId="0" borderId="0" xfId="0" applyNumberFormat="1" applyFont="1" applyFill="1" applyBorder="1" applyAlignment="1" applyProtection="1">
      <alignment horizontal="righ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right"/>
      <protection/>
    </xf>
    <xf numFmtId="0" fontId="12" fillId="0" borderId="0" xfId="0" applyFont="1" applyFill="1" applyBorder="1" applyAlignment="1" applyProtection="1">
      <alignment horizontal="right"/>
      <protection locked="0"/>
    </xf>
    <xf numFmtId="0" fontId="12" fillId="0" borderId="4" xfId="0" applyFont="1" applyFill="1" applyBorder="1" applyAlignment="1" applyProtection="1">
      <alignment horizontal="right"/>
      <protection/>
    </xf>
    <xf numFmtId="0" fontId="12" fillId="0" borderId="4" xfId="0" applyFont="1" applyFill="1" applyBorder="1" applyAlignment="1" applyProtection="1">
      <alignment horizontal="right"/>
      <protection locked="0"/>
    </xf>
    <xf numFmtId="0" fontId="12" fillId="0" borderId="0" xfId="0" applyFont="1" applyFill="1" applyBorder="1" applyAlignment="1" applyProtection="1">
      <alignment/>
      <protection locked="0"/>
    </xf>
    <xf numFmtId="0" fontId="12" fillId="0" borderId="0" xfId="0" applyFont="1" applyFill="1" applyBorder="1" applyAlignment="1" applyProtection="1">
      <alignment horizontal="center"/>
      <protection/>
    </xf>
    <xf numFmtId="4" fontId="12" fillId="0" borderId="0" xfId="0" applyNumberFormat="1" applyFont="1" applyFill="1" applyBorder="1" applyAlignment="1" applyProtection="1">
      <alignment/>
      <protection locked="0"/>
    </xf>
    <xf numFmtId="0" fontId="12" fillId="0" borderId="0" xfId="0" applyFont="1" applyAlignment="1">
      <alignment/>
    </xf>
    <xf numFmtId="4" fontId="12" fillId="0" borderId="0" xfId="0" applyNumberFormat="1" applyFont="1" applyAlignment="1">
      <alignment/>
    </xf>
    <xf numFmtId="3" fontId="0" fillId="2" borderId="0" xfId="0" applyNumberFormat="1" applyFill="1" applyAlignment="1">
      <alignment horizontal="center" vertical="top" wrapText="1"/>
    </xf>
    <xf numFmtId="0" fontId="0" fillId="2" borderId="0" xfId="0" applyFill="1" applyAlignment="1">
      <alignment horizontal="center"/>
    </xf>
    <xf numFmtId="0" fontId="0" fillId="2" borderId="0" xfId="0" applyFill="1" applyAlignment="1">
      <alignment horizontal="left" vertical="top" wrapText="1"/>
    </xf>
    <xf numFmtId="3" fontId="0" fillId="2" borderId="21" xfId="0" applyNumberFormat="1" applyFill="1" applyBorder="1" applyAlignment="1">
      <alignment vertical="top"/>
    </xf>
    <xf numFmtId="3" fontId="0" fillId="2" borderId="21" xfId="0" applyNumberFormat="1" applyFont="1" applyFill="1" applyBorder="1" applyAlignment="1">
      <alignment vertical="top"/>
    </xf>
    <xf numFmtId="0" fontId="0" fillId="2" borderId="0" xfId="0" applyFont="1" applyFill="1" applyAlignment="1">
      <alignment/>
    </xf>
    <xf numFmtId="0" fontId="14" fillId="2" borderId="0" xfId="0" applyFont="1" applyFill="1" applyAlignment="1">
      <alignment/>
    </xf>
    <xf numFmtId="0" fontId="14" fillId="2" borderId="0" xfId="0" applyFont="1" applyFill="1" applyAlignment="1">
      <alignment vertical="top" wrapText="1"/>
    </xf>
    <xf numFmtId="3" fontId="14" fillId="2" borderId="0" xfId="0" applyNumberFormat="1" applyFont="1" applyFill="1" applyAlignment="1">
      <alignment horizontal="right" vertical="top" wrapText="1"/>
    </xf>
    <xf numFmtId="3" fontId="14" fillId="2" borderId="0" xfId="0" applyNumberFormat="1" applyFont="1" applyFill="1" applyAlignment="1">
      <alignment vertical="top" wrapText="1"/>
    </xf>
    <xf numFmtId="3" fontId="14" fillId="2" borderId="0" xfId="0" applyNumberFormat="1" applyFont="1" applyFill="1" applyAlignment="1">
      <alignment horizontal="left" vertical="top" wrapText="1"/>
    </xf>
    <xf numFmtId="0" fontId="15" fillId="2" borderId="0" xfId="0" applyFont="1" applyFill="1" applyAlignment="1">
      <alignment vertical="top" wrapText="1"/>
    </xf>
    <xf numFmtId="3" fontId="16" fillId="2" borderId="0" xfId="0" applyNumberFormat="1" applyFont="1" applyFill="1" applyAlignment="1">
      <alignment vertical="top" wrapText="1"/>
    </xf>
    <xf numFmtId="0" fontId="16" fillId="2" borderId="0" xfId="0" applyFont="1" applyFill="1" applyAlignment="1">
      <alignment vertical="top" wrapText="1"/>
    </xf>
    <xf numFmtId="3" fontId="16" fillId="2" borderId="0" xfId="0" applyNumberFormat="1" applyFont="1" applyFill="1" applyBorder="1" applyAlignment="1">
      <alignment horizontal="center" vertical="top"/>
    </xf>
    <xf numFmtId="3" fontId="16" fillId="2" borderId="0" xfId="0" applyNumberFormat="1" applyFont="1" applyFill="1" applyAlignment="1">
      <alignment horizontal="right" vertical="top" wrapText="1"/>
    </xf>
    <xf numFmtId="3" fontId="14" fillId="2" borderId="0" xfId="0" applyNumberFormat="1" applyFont="1" applyFill="1" applyBorder="1" applyAlignment="1">
      <alignment horizontal="left" vertical="top" wrapText="1"/>
    </xf>
    <xf numFmtId="3" fontId="14" fillId="2" borderId="0" xfId="0" applyNumberFormat="1" applyFont="1" applyFill="1" applyBorder="1" applyAlignment="1">
      <alignment horizontal="right" vertical="top" wrapText="1"/>
    </xf>
    <xf numFmtId="3" fontId="14" fillId="2" borderId="21" xfId="0" applyNumberFormat="1" applyFont="1" applyFill="1" applyBorder="1" applyAlignment="1">
      <alignment vertical="top" wrapText="1"/>
    </xf>
    <xf numFmtId="3" fontId="14" fillId="2" borderId="21" xfId="0" applyNumberFormat="1" applyFont="1" applyFill="1" applyBorder="1" applyAlignment="1">
      <alignment horizontal="left" vertical="top" wrapText="1"/>
    </xf>
    <xf numFmtId="0" fontId="17" fillId="2" borderId="0" xfId="0" applyFont="1" applyFill="1" applyAlignment="1">
      <alignment vertical="top" wrapText="1"/>
    </xf>
    <xf numFmtId="3" fontId="16" fillId="2" borderId="0" xfId="0" applyNumberFormat="1" applyFont="1" applyFill="1" applyAlignment="1">
      <alignment horizontal="center" vertical="top" wrapText="1"/>
    </xf>
    <xf numFmtId="3" fontId="16" fillId="2" borderId="21" xfId="0" applyNumberFormat="1" applyFont="1" applyFill="1" applyBorder="1" applyAlignment="1">
      <alignment vertical="top" wrapText="1"/>
    </xf>
    <xf numFmtId="0" fontId="16" fillId="2" borderId="0" xfId="0" applyFont="1" applyFill="1" applyAlignment="1">
      <alignment/>
    </xf>
    <xf numFmtId="3" fontId="16" fillId="2" borderId="21" xfId="0" applyNumberFormat="1" applyFont="1" applyFill="1" applyBorder="1" applyAlignment="1">
      <alignment horizontal="right" vertical="top" wrapText="1"/>
    </xf>
    <xf numFmtId="3" fontId="14" fillId="2" borderId="22" xfId="0" applyNumberFormat="1" applyFont="1" applyFill="1" applyBorder="1" applyAlignment="1">
      <alignment vertical="top" wrapText="1"/>
    </xf>
    <xf numFmtId="3" fontId="14" fillId="2" borderId="22" xfId="0" applyNumberFormat="1" applyFont="1" applyFill="1" applyBorder="1" applyAlignment="1">
      <alignment horizontal="right" vertical="top" wrapText="1"/>
    </xf>
    <xf numFmtId="0" fontId="11" fillId="2" borderId="0" xfId="0" applyFont="1" applyFill="1" applyAlignment="1">
      <alignment vertical="top" wrapText="1"/>
    </xf>
    <xf numFmtId="0" fontId="11" fillId="2" borderId="0" xfId="0" applyFont="1" applyFill="1" applyAlignment="1">
      <alignment horizontal="center" vertical="top" wrapText="1"/>
    </xf>
    <xf numFmtId="0" fontId="18" fillId="2" borderId="0" xfId="0" applyFont="1" applyFill="1" applyAlignment="1">
      <alignment vertical="top" wrapText="1"/>
    </xf>
    <xf numFmtId="4" fontId="16" fillId="2" borderId="0" xfId="0" applyNumberFormat="1" applyFont="1" applyFill="1" applyAlignment="1">
      <alignment vertical="top" wrapText="1"/>
    </xf>
    <xf numFmtId="3" fontId="0" fillId="2" borderId="0" xfId="0" applyNumberFormat="1" applyFill="1" applyAlignment="1">
      <alignment horizontal="right" vertical="top"/>
    </xf>
    <xf numFmtId="0" fontId="17" fillId="2" borderId="0" xfId="0" applyFont="1" applyFill="1" applyAlignment="1">
      <alignment/>
    </xf>
    <xf numFmtId="0" fontId="1" fillId="2" borderId="0" xfId="0" applyNumberFormat="1" applyFont="1" applyFill="1" applyAlignment="1">
      <alignment horizontal="center" vertical="top" wrapText="1"/>
    </xf>
    <xf numFmtId="0" fontId="1" fillId="2" borderId="0" xfId="0" applyNumberFormat="1" applyFont="1" applyFill="1" applyAlignment="1">
      <alignment vertical="top"/>
    </xf>
    <xf numFmtId="0" fontId="0" fillId="2" borderId="0" xfId="0" applyNumberFormat="1" applyFill="1" applyAlignment="1">
      <alignment vertical="top"/>
    </xf>
    <xf numFmtId="0" fontId="1" fillId="2" borderId="21" xfId="0" applyNumberFormat="1" applyFont="1" applyFill="1" applyBorder="1" applyAlignment="1">
      <alignment vertical="top"/>
    </xf>
    <xf numFmtId="0" fontId="0" fillId="2" borderId="21" xfId="0" applyNumberFormat="1" applyFill="1" applyBorder="1" applyAlignment="1">
      <alignment vertical="top"/>
    </xf>
    <xf numFmtId="0" fontId="0" fillId="2" borderId="0" xfId="0" applyNumberFormat="1" applyFont="1" applyFill="1" applyAlignment="1">
      <alignment vertical="top"/>
    </xf>
    <xf numFmtId="0" fontId="0" fillId="2" borderId="21" xfId="0" applyNumberFormat="1" applyFont="1" applyFill="1" applyBorder="1" applyAlignment="1">
      <alignment vertical="top"/>
    </xf>
    <xf numFmtId="0" fontId="0" fillId="2" borderId="0" xfId="0" applyNumberFormat="1" applyFill="1" applyAlignment="1">
      <alignment vertical="top" wrapText="1"/>
    </xf>
    <xf numFmtId="0" fontId="0" fillId="2" borderId="0" xfId="0" applyNumberFormat="1" applyFill="1" applyAlignment="1">
      <alignment horizontal="right" vertical="top"/>
    </xf>
    <xf numFmtId="3" fontId="11" fillId="2" borderId="0" xfId="0" applyNumberFormat="1" applyFont="1" applyFill="1" applyAlignment="1">
      <alignment vertical="top" wrapText="1"/>
    </xf>
    <xf numFmtId="3" fontId="11" fillId="2" borderId="0" xfId="0" applyNumberFormat="1" applyFont="1" applyFill="1" applyAlignment="1">
      <alignment horizontal="right" vertical="top" wrapText="1"/>
    </xf>
    <xf numFmtId="3" fontId="11" fillId="2" borderId="0" xfId="0" applyNumberFormat="1" applyFont="1" applyFill="1" applyAlignment="1">
      <alignment horizontal="left" vertical="top" wrapText="1"/>
    </xf>
    <xf numFmtId="0" fontId="19" fillId="2" borderId="0" xfId="0" applyFont="1" applyFill="1" applyAlignment="1">
      <alignment vertical="top" wrapText="1"/>
    </xf>
    <xf numFmtId="3" fontId="12" fillId="2" borderId="0" xfId="0" applyNumberFormat="1" applyFont="1" applyFill="1" applyAlignment="1">
      <alignment vertical="top" wrapText="1"/>
    </xf>
    <xf numFmtId="0" fontId="12" fillId="2" borderId="0" xfId="0" applyFont="1" applyFill="1" applyAlignment="1">
      <alignment vertical="top" wrapText="1"/>
    </xf>
    <xf numFmtId="3" fontId="12" fillId="2" borderId="0" xfId="0" applyNumberFormat="1" applyFont="1" applyFill="1" applyBorder="1" applyAlignment="1">
      <alignment horizontal="center" vertical="top"/>
    </xf>
    <xf numFmtId="4" fontId="12" fillId="2" borderId="0" xfId="0" applyNumberFormat="1" applyFont="1" applyFill="1" applyAlignment="1">
      <alignment vertical="top" wrapText="1"/>
    </xf>
    <xf numFmtId="3" fontId="12" fillId="2" borderId="0" xfId="0" applyNumberFormat="1" applyFont="1" applyFill="1" applyAlignment="1">
      <alignment horizontal="center" vertical="top" wrapText="1"/>
    </xf>
    <xf numFmtId="3" fontId="11" fillId="2" borderId="0" xfId="0" applyNumberFormat="1" applyFont="1" applyFill="1" applyBorder="1" applyAlignment="1">
      <alignment horizontal="left" vertical="top" wrapText="1"/>
    </xf>
    <xf numFmtId="3" fontId="11" fillId="2" borderId="0" xfId="0" applyNumberFormat="1" applyFont="1" applyFill="1" applyBorder="1" applyAlignment="1">
      <alignment horizontal="right" vertical="top" wrapText="1"/>
    </xf>
    <xf numFmtId="3" fontId="11" fillId="2" borderId="21" xfId="0" applyNumberFormat="1" applyFont="1" applyFill="1" applyBorder="1" applyAlignment="1">
      <alignment vertical="top" wrapText="1"/>
    </xf>
    <xf numFmtId="3" fontId="11" fillId="2" borderId="21" xfId="0" applyNumberFormat="1" applyFont="1" applyFill="1" applyBorder="1" applyAlignment="1">
      <alignment horizontal="left" vertical="top" wrapText="1"/>
    </xf>
    <xf numFmtId="0" fontId="20" fillId="2" borderId="0" xfId="0" applyFont="1" applyFill="1" applyAlignment="1">
      <alignment vertical="top" wrapText="1"/>
    </xf>
    <xf numFmtId="3" fontId="12" fillId="2" borderId="0" xfId="0" applyNumberFormat="1" applyFont="1" applyFill="1" applyAlignment="1">
      <alignment horizontal="right" vertical="top" wrapText="1"/>
    </xf>
    <xf numFmtId="3" fontId="12" fillId="2" borderId="21" xfId="0" applyNumberFormat="1" applyFont="1" applyFill="1" applyBorder="1" applyAlignment="1">
      <alignment vertical="top" wrapText="1"/>
    </xf>
    <xf numFmtId="3" fontId="12" fillId="2" borderId="21" xfId="0" applyNumberFormat="1" applyFont="1" applyFill="1" applyBorder="1" applyAlignment="1">
      <alignment horizontal="right" vertical="top" wrapText="1"/>
    </xf>
    <xf numFmtId="3" fontId="11" fillId="2" borderId="22" xfId="0" applyNumberFormat="1" applyFont="1" applyFill="1" applyBorder="1" applyAlignment="1">
      <alignment vertical="top" wrapText="1"/>
    </xf>
    <xf numFmtId="3" fontId="11" fillId="2" borderId="22" xfId="0" applyNumberFormat="1" applyFont="1" applyFill="1" applyBorder="1" applyAlignment="1">
      <alignment horizontal="right" vertical="top" wrapText="1"/>
    </xf>
    <xf numFmtId="0" fontId="9" fillId="2" borderId="0" xfId="0" applyFont="1" applyFill="1" applyAlignment="1">
      <alignment horizontal="center" vertical="top"/>
    </xf>
    <xf numFmtId="4" fontId="11" fillId="2" borderId="23" xfId="0" applyNumberFormat="1" applyFont="1" applyFill="1" applyBorder="1" applyAlignment="1">
      <alignment horizontal="center"/>
    </xf>
    <xf numFmtId="4" fontId="11" fillId="2" borderId="24" xfId="0" applyNumberFormat="1" applyFont="1" applyFill="1" applyBorder="1" applyAlignment="1">
      <alignment horizontal="center"/>
    </xf>
    <xf numFmtId="0" fontId="10" fillId="2" borderId="0" xfId="0" applyFont="1" applyFill="1" applyAlignment="1">
      <alignment horizontal="center"/>
    </xf>
    <xf numFmtId="0" fontId="11" fillId="2" borderId="25" xfId="0" applyFont="1" applyFill="1" applyBorder="1" applyAlignment="1">
      <alignment horizontal="center"/>
    </xf>
    <xf numFmtId="0" fontId="11" fillId="2" borderId="2" xfId="0" applyFont="1" applyFill="1" applyBorder="1" applyAlignment="1">
      <alignment horizontal="center"/>
    </xf>
    <xf numFmtId="4" fontId="11" fillId="2" borderId="25" xfId="0" applyNumberFormat="1" applyFont="1" applyFill="1" applyBorder="1" applyAlignment="1">
      <alignment horizontal="center"/>
    </xf>
    <xf numFmtId="4" fontId="11" fillId="2" borderId="2" xfId="0" applyNumberFormat="1" applyFont="1" applyFill="1" applyBorder="1" applyAlignment="1">
      <alignment horizontal="center"/>
    </xf>
    <xf numFmtId="0" fontId="12" fillId="0" borderId="0" xfId="0" applyFont="1" applyFill="1" applyBorder="1" applyAlignment="1" applyProtection="1">
      <alignment horizontal="center"/>
      <protection/>
    </xf>
    <xf numFmtId="0" fontId="14" fillId="2" borderId="0" xfId="0" applyFont="1" applyFill="1" applyAlignment="1">
      <alignment horizontal="left" vertical="top" wrapText="1"/>
    </xf>
    <xf numFmtId="0" fontId="11" fillId="2" borderId="0" xfId="0" applyFont="1" applyFill="1" applyAlignment="1">
      <alignment horizontal="lef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GRP\FIN\FAD\externe%20administraties\Nazorgfonds\2008\jaarrekening\Balans%2031-1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GRP\FIN\FAD\externe%20administraties\Nazorgfonds\bijlage\Rente%20bereken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s"/>
      <sheetName val="Exploitatie"/>
      <sheetName val="Doelvermogen"/>
      <sheetName val="Activa"/>
      <sheetName val="Tabel toelichting balans"/>
    </sheetNames>
    <sheetDataSet>
      <sheetData sheetId="0">
        <row r="10">
          <cell r="H10">
            <v>957379.23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nte"/>
      <sheetName val="Dis agio"/>
    </sheetNames>
    <sheetDataSet>
      <sheetData sheetId="0">
        <row r="16">
          <cell r="G16">
            <v>80470.25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zoomScale="85" zoomScaleNormal="85" workbookViewId="0" topLeftCell="A17">
      <selection activeCell="A17" sqref="A17"/>
    </sheetView>
  </sheetViews>
  <sheetFormatPr defaultColWidth="9.140625" defaultRowHeight="12.75"/>
  <cols>
    <col min="1" max="1" width="33.140625" style="2" customWidth="1"/>
    <col min="2" max="2" width="10.421875" style="7" customWidth="1"/>
    <col min="3" max="3" width="33.00390625" style="2" customWidth="1"/>
    <col min="4" max="4" width="32.57421875" style="2" customWidth="1"/>
    <col min="5" max="5" width="9.8515625" style="9" customWidth="1"/>
    <col min="6" max="6" width="30.8515625" style="2" customWidth="1"/>
  </cols>
  <sheetData>
    <row r="1" spans="1:6" s="1" customFormat="1" ht="12.75">
      <c r="A1" s="3" t="s">
        <v>48</v>
      </c>
      <c r="C1" s="3" t="s">
        <v>49</v>
      </c>
      <c r="D1" s="3"/>
      <c r="E1" s="10"/>
      <c r="F1" s="3"/>
    </row>
    <row r="3" spans="1:6" s="1" customFormat="1" ht="12.75">
      <c r="A3" s="3" t="s">
        <v>0</v>
      </c>
      <c r="B3" s="6"/>
      <c r="C3" s="3"/>
      <c r="D3" s="3" t="s">
        <v>1</v>
      </c>
      <c r="E3" s="10"/>
      <c r="F3" s="3"/>
    </row>
    <row r="4" spans="1:6" s="1" customFormat="1" ht="12.75">
      <c r="A4" s="3" t="s">
        <v>34</v>
      </c>
      <c r="B4" s="6" t="s">
        <v>35</v>
      </c>
      <c r="C4" s="3" t="s">
        <v>36</v>
      </c>
      <c r="D4" s="3" t="s">
        <v>34</v>
      </c>
      <c r="E4" s="11" t="s">
        <v>35</v>
      </c>
      <c r="F4" s="3" t="s">
        <v>36</v>
      </c>
    </row>
    <row r="5" spans="1:6" ht="51">
      <c r="A5" s="4" t="s">
        <v>26</v>
      </c>
      <c r="B5" s="7">
        <f>SUM(E5:E7)</f>
        <v>2046683.2517436505</v>
      </c>
      <c r="D5" s="4" t="s">
        <v>18</v>
      </c>
      <c r="E5" s="9">
        <v>211695</v>
      </c>
      <c r="F5" s="8" t="s">
        <v>38</v>
      </c>
    </row>
    <row r="6" spans="1:6" ht="63.75">
      <c r="A6" s="4"/>
      <c r="D6" s="4"/>
      <c r="E6" s="9">
        <v>1414275</v>
      </c>
      <c r="F6" s="8" t="s">
        <v>37</v>
      </c>
    </row>
    <row r="7" spans="1:6" ht="25.5">
      <c r="A7" s="4"/>
      <c r="D7" s="4"/>
      <c r="E7" s="9">
        <v>420713.2517436505</v>
      </c>
      <c r="F7" s="8" t="s">
        <v>62</v>
      </c>
    </row>
    <row r="8" spans="1:6" ht="89.25">
      <c r="A8" s="4" t="s">
        <v>56</v>
      </c>
      <c r="B8" s="7">
        <f>SUM(E17:E22)-SUM(B9:B24)</f>
        <v>60675.8952</v>
      </c>
      <c r="C8" s="2" t="s">
        <v>59</v>
      </c>
      <c r="D8" s="4" t="s">
        <v>25</v>
      </c>
      <c r="E8" s="9">
        <v>0</v>
      </c>
      <c r="F8" s="2" t="s">
        <v>50</v>
      </c>
    </row>
    <row r="9" spans="1:4" ht="38.25">
      <c r="A9" s="4" t="s">
        <v>32</v>
      </c>
      <c r="B9" s="7">
        <v>0</v>
      </c>
      <c r="C9" s="2" t="s">
        <v>51</v>
      </c>
      <c r="D9" s="4"/>
    </row>
    <row r="10" spans="1:3" ht="89.25">
      <c r="A10" s="4" t="s">
        <v>2</v>
      </c>
      <c r="B10" s="7">
        <f>(4*295)+(4*230)</f>
        <v>2100</v>
      </c>
      <c r="C10" s="2" t="s">
        <v>47</v>
      </c>
    </row>
    <row r="11" spans="1:3" ht="63.75">
      <c r="A11" s="4" t="s">
        <v>11</v>
      </c>
      <c r="B11" s="7">
        <v>0</v>
      </c>
      <c r="C11" s="2" t="s">
        <v>52</v>
      </c>
    </row>
    <row r="12" spans="1:3" ht="76.5">
      <c r="A12" s="4" t="s">
        <v>33</v>
      </c>
      <c r="B12" s="7">
        <v>6000</v>
      </c>
      <c r="C12" s="2" t="s">
        <v>60</v>
      </c>
    </row>
    <row r="13" spans="1:3" ht="89.25">
      <c r="A13" s="4" t="s">
        <v>12</v>
      </c>
      <c r="B13" s="7">
        <v>7000</v>
      </c>
      <c r="C13" s="2" t="s">
        <v>44</v>
      </c>
    </row>
    <row r="14" spans="1:3" ht="25.5">
      <c r="A14" s="4" t="s">
        <v>13</v>
      </c>
      <c r="B14" s="7">
        <v>0</v>
      </c>
      <c r="C14" s="2" t="s">
        <v>43</v>
      </c>
    </row>
    <row r="15" spans="1:3" ht="51">
      <c r="A15" s="4" t="s">
        <v>3</v>
      </c>
      <c r="B15" s="7">
        <v>1500</v>
      </c>
      <c r="C15" s="2" t="s">
        <v>46</v>
      </c>
    </row>
    <row r="16" spans="1:4" ht="12.75">
      <c r="A16" s="4" t="s">
        <v>14</v>
      </c>
      <c r="D16" s="4" t="s">
        <v>15</v>
      </c>
    </row>
    <row r="17" spans="1:6" ht="51">
      <c r="A17" s="2" t="s">
        <v>8</v>
      </c>
      <c r="B17" s="7">
        <v>0</v>
      </c>
      <c r="C17" s="2" t="s">
        <v>53</v>
      </c>
      <c r="D17" s="2" t="s">
        <v>4</v>
      </c>
      <c r="E17" s="9">
        <f>5.06/100*2061296*9/12</f>
        <v>78226.1832</v>
      </c>
      <c r="F17" s="2" t="s">
        <v>63</v>
      </c>
    </row>
    <row r="18" spans="1:6" ht="51">
      <c r="A18" s="2" t="s">
        <v>29</v>
      </c>
      <c r="B18" s="7">
        <f>1/1000*2100000</f>
        <v>2100</v>
      </c>
      <c r="C18" s="2" t="s">
        <v>64</v>
      </c>
      <c r="D18" s="2" t="s">
        <v>5</v>
      </c>
      <c r="E18" s="9">
        <v>893</v>
      </c>
      <c r="F18" s="2" t="s">
        <v>39</v>
      </c>
    </row>
    <row r="19" spans="5:6" ht="25.5">
      <c r="E19" s="9">
        <v>13720</v>
      </c>
      <c r="F19" s="2" t="s">
        <v>40</v>
      </c>
    </row>
    <row r="20" spans="1:5" ht="89.25">
      <c r="A20" s="2" t="s">
        <v>30</v>
      </c>
      <c r="B20" s="7">
        <f>4/1000*2115822</f>
        <v>8463.288</v>
      </c>
      <c r="C20" s="2" t="s">
        <v>87</v>
      </c>
      <c r="D20" s="2" t="s">
        <v>6</v>
      </c>
      <c r="E20" s="9" t="s">
        <v>41</v>
      </c>
    </row>
    <row r="21" spans="1:6" ht="38.25">
      <c r="A21" s="2" t="s">
        <v>28</v>
      </c>
      <c r="B21" s="7">
        <v>5000</v>
      </c>
      <c r="C21" s="2" t="s">
        <v>45</v>
      </c>
      <c r="D21" s="2" t="s">
        <v>17</v>
      </c>
      <c r="E21" s="9" t="s">
        <v>41</v>
      </c>
      <c r="F21" s="2" t="s">
        <v>42</v>
      </c>
    </row>
    <row r="22" spans="1:4" ht="38.25">
      <c r="A22" s="2" t="s">
        <v>7</v>
      </c>
      <c r="B22" s="7">
        <v>0</v>
      </c>
      <c r="C22" s="2" t="s">
        <v>54</v>
      </c>
      <c r="D22" s="2" t="s">
        <v>7</v>
      </c>
    </row>
    <row r="23" spans="1:4" ht="76.5">
      <c r="A23" s="2" t="s">
        <v>9</v>
      </c>
      <c r="B23" s="7">
        <v>0</v>
      </c>
      <c r="C23" s="2" t="s">
        <v>55</v>
      </c>
      <c r="D23" s="2" t="s">
        <v>19</v>
      </c>
    </row>
    <row r="24" spans="1:3" ht="38.25">
      <c r="A24" s="2" t="s">
        <v>16</v>
      </c>
      <c r="B24" s="7">
        <v>0</v>
      </c>
      <c r="C24" s="2" t="s">
        <v>50</v>
      </c>
    </row>
    <row r="25" spans="1:6" s="1" customFormat="1" ht="12.75">
      <c r="A25" s="3" t="s">
        <v>20</v>
      </c>
      <c r="B25" s="6">
        <f>SUM(B5:B24)</f>
        <v>2139522.434943651</v>
      </c>
      <c r="C25" s="3"/>
      <c r="D25" s="3" t="s">
        <v>21</v>
      </c>
      <c r="E25" s="6">
        <f>SUM(E5:E24)</f>
        <v>2139522.4349436504</v>
      </c>
      <c r="F25" s="3"/>
    </row>
    <row r="26" spans="4:5" ht="12.75">
      <c r="D26" s="2" t="s">
        <v>20</v>
      </c>
      <c r="E26" s="9">
        <f>B25</f>
        <v>2139522.434943651</v>
      </c>
    </row>
    <row r="27" spans="1:6" s="1" customFormat="1" ht="25.5">
      <c r="A27" s="3"/>
      <c r="B27" s="6"/>
      <c r="C27" s="3"/>
      <c r="D27" s="3" t="s">
        <v>24</v>
      </c>
      <c r="E27" s="10">
        <f>E25-E26</f>
        <v>0</v>
      </c>
      <c r="F27" s="3"/>
    </row>
    <row r="28" spans="2:6" s="14" customFormat="1" ht="51">
      <c r="B28" s="12"/>
      <c r="D28" s="5" t="s">
        <v>22</v>
      </c>
      <c r="E28" s="13">
        <v>0</v>
      </c>
      <c r="F28" s="5" t="s">
        <v>58</v>
      </c>
    </row>
    <row r="29" spans="2:6" s="14" customFormat="1" ht="51">
      <c r="B29" s="12"/>
      <c r="C29" s="5"/>
      <c r="D29" s="5" t="s">
        <v>27</v>
      </c>
      <c r="E29" s="13">
        <v>0</v>
      </c>
      <c r="F29" s="5" t="s">
        <v>57</v>
      </c>
    </row>
    <row r="30" spans="1:6" s="1" customFormat="1" ht="12.75">
      <c r="A30" s="3"/>
      <c r="B30" s="6"/>
      <c r="C30" s="3"/>
      <c r="D30" s="3" t="s">
        <v>23</v>
      </c>
      <c r="E30" s="10">
        <f>E27-E28+E29</f>
        <v>0</v>
      </c>
      <c r="F30" s="3"/>
    </row>
    <row r="31" spans="1:6" s="1" customFormat="1" ht="12.75">
      <c r="A31" s="3"/>
      <c r="B31" s="6"/>
      <c r="C31" s="3"/>
      <c r="D31" s="3"/>
      <c r="E31" s="10"/>
      <c r="F31" s="3"/>
    </row>
    <row r="32" ht="12.75">
      <c r="A32" s="2" t="s">
        <v>10</v>
      </c>
    </row>
    <row r="34" ht="63.75">
      <c r="A34" s="4" t="s">
        <v>31</v>
      </c>
    </row>
    <row r="35" ht="12.75">
      <c r="A35" s="4"/>
    </row>
    <row r="37" spans="1:6" s="1" customFormat="1" ht="12.75">
      <c r="A37" s="3" t="s">
        <v>69</v>
      </c>
      <c r="B37" s="6">
        <f>B5+B8</f>
        <v>2107359.1469436507</v>
      </c>
      <c r="C37" s="3"/>
      <c r="D37" s="3"/>
      <c r="E37" s="10"/>
      <c r="F37" s="3"/>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51"/>
  <sheetViews>
    <sheetView view="pageBreakPreview" zoomScale="80" zoomScaleNormal="75" zoomScaleSheetLayoutView="80" workbookViewId="0" topLeftCell="A1">
      <selection activeCell="D46" sqref="D46"/>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+'2008'!A1+1</f>
        <v>2009</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63" customHeight="1">
      <c r="A4" s="158" t="s">
        <v>2</v>
      </c>
      <c r="B4" s="159">
        <f>+Totaaloverzicht!I4</f>
        <v>700</v>
      </c>
      <c r="C4" s="160" t="s">
        <v>186</v>
      </c>
      <c r="D4" s="154"/>
      <c r="E4" s="158" t="s">
        <v>154</v>
      </c>
      <c r="F4" s="161" t="s">
        <v>41</v>
      </c>
      <c r="G4" s="177" t="s">
        <v>171</v>
      </c>
    </row>
    <row r="5" spans="1:7" s="76" customFormat="1" ht="52.5" customHeight="1">
      <c r="A5" s="158" t="s">
        <v>155</v>
      </c>
      <c r="B5" s="159">
        <f>+'2008'!B5*102.5%</f>
        <v>0</v>
      </c>
      <c r="C5" s="160" t="s">
        <v>52</v>
      </c>
      <c r="D5" s="154"/>
      <c r="E5" s="158" t="s">
        <v>156</v>
      </c>
      <c r="F5" s="168" t="s">
        <v>41</v>
      </c>
      <c r="G5" s="160" t="s">
        <v>50</v>
      </c>
    </row>
    <row r="6" spans="1:7" s="76" customFormat="1" ht="64.5" customHeight="1">
      <c r="A6" s="158" t="s">
        <v>157</v>
      </c>
      <c r="B6" s="159">
        <f>+Totaaloverzicht!I6</f>
        <v>2600</v>
      </c>
      <c r="C6" s="160" t="s">
        <v>182</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v>6545</v>
      </c>
      <c r="C8" s="160" t="str">
        <f>'2005'!D22</f>
        <v>Betreft de werkzaamheden van de treasurer excl. backoffice. Gerekend met 10 dagen op jaarbasis.</v>
      </c>
      <c r="D8" s="154"/>
      <c r="E8" s="154"/>
      <c r="F8" s="157"/>
      <c r="G8" s="154"/>
      <c r="L8" s="179"/>
    </row>
    <row r="9" spans="1:7" s="76" customFormat="1" ht="52.5" customHeight="1">
      <c r="A9" s="158" t="s">
        <v>3</v>
      </c>
      <c r="B9" s="159">
        <f>+Totaaloverzicht!I9</f>
        <v>4500</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19164</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+'2008'!B13*102.5%</f>
        <v>0</v>
      </c>
      <c r="C13" s="160" t="str">
        <f>'2004'!D16</f>
        <v>Niet van toepassing. Er zijn middelen beschikbaar. Een deel daarvan zal op de rekening-courant blijven staan.</v>
      </c>
      <c r="D13" s="154"/>
      <c r="E13" s="160" t="s">
        <v>4</v>
      </c>
      <c r="F13" s="162">
        <f>+Totaaloverzicht!I41</f>
        <v>80470.25</v>
      </c>
      <c r="G13" s="160" t="s">
        <v>187</v>
      </c>
    </row>
    <row r="14" spans="1:7" s="76" customFormat="1" ht="45" customHeight="1">
      <c r="A14" s="160" t="s">
        <v>29</v>
      </c>
      <c r="B14" s="159">
        <f>+'2008'!B14*102.5%</f>
        <v>0</v>
      </c>
      <c r="C14" s="160" t="s">
        <v>94</v>
      </c>
      <c r="D14" s="154"/>
      <c r="E14" s="160" t="s">
        <v>148</v>
      </c>
      <c r="F14" s="162">
        <f>+Totaaloverzicht!I40</f>
        <v>59391.002777741465</v>
      </c>
      <c r="G14" s="160" t="s">
        <v>173</v>
      </c>
    </row>
    <row r="15" spans="1:7" ht="25.5" customHeight="1">
      <c r="A15" s="160" t="s">
        <v>30</v>
      </c>
      <c r="B15" s="159">
        <f>+'2008'!B15*102.5%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+'2008'!B16*102.5%</f>
        <v>1076.890625</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+'2008'!B17*102.5%</f>
        <v>1615.3359374999993</v>
      </c>
      <c r="C17" s="160" t="str">
        <f>'2005'!D21</f>
        <v>Kosten aanhouden effectendepot door bank.</v>
      </c>
      <c r="D17" s="154"/>
      <c r="E17" s="160" t="s">
        <v>7</v>
      </c>
      <c r="F17" s="162">
        <f>+Totaaloverzicht!G44</f>
        <v>0</v>
      </c>
      <c r="G17" s="154"/>
    </row>
    <row r="18" spans="1:7" ht="29.25" customHeight="1">
      <c r="A18" s="160" t="str">
        <f>'2005'!A23</f>
        <v>g. koersverschil</v>
      </c>
      <c r="B18" s="159">
        <f>+'2008'!B18*102.5%</f>
        <v>0</v>
      </c>
      <c r="C18" s="160" t="str">
        <f>'2005'!D23</f>
        <v>Koersontwikkeling, doet zich in de jaarrekening voor.</v>
      </c>
      <c r="D18" s="154"/>
      <c r="E18" s="154"/>
      <c r="F18" s="157"/>
      <c r="G18" s="157"/>
    </row>
    <row r="19" spans="1:7" ht="42.75" customHeight="1">
      <c r="A19" s="160" t="str">
        <f>'2005'!A24</f>
        <v>h. afschrijving agio/disagio</v>
      </c>
      <c r="B19" s="159">
        <v>5992.42</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8684.646562499998</v>
      </c>
      <c r="C21" s="160"/>
      <c r="D21" s="154"/>
      <c r="E21" s="154"/>
      <c r="F21" s="157">
        <f>SUM(F13:F20)</f>
        <v>139861.25277774147</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+Totaaloverzicht!I24</f>
        <v>112012.60621524147</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112012.60621524147</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139861.25277774147</v>
      </c>
      <c r="C32" s="160"/>
      <c r="D32" s="160"/>
      <c r="E32" s="154" t="s">
        <v>21</v>
      </c>
      <c r="F32" s="173">
        <f>SUM(+F21+F11+F30)</f>
        <v>139861.25277774147</v>
      </c>
      <c r="G32" s="160"/>
    </row>
    <row r="33" spans="1:7" ht="12.75" customHeight="1" thickTop="1">
      <c r="A33" s="160"/>
      <c r="B33" s="159"/>
      <c r="C33" s="160"/>
      <c r="D33" s="160"/>
      <c r="E33" s="160"/>
      <c r="F33" s="162"/>
      <c r="G33" s="160"/>
    </row>
    <row r="34" spans="1:7" ht="12.75" customHeight="1">
      <c r="A34" s="160"/>
      <c r="B34" s="159"/>
      <c r="C34" s="160"/>
      <c r="D34" s="160"/>
      <c r="E34" s="160"/>
      <c r="F34" s="162"/>
      <c r="G34" s="160"/>
    </row>
    <row r="35" spans="1:7" ht="12.75" customHeight="1">
      <c r="A35" s="160"/>
      <c r="B35" s="159"/>
      <c r="C35" s="160"/>
      <c r="D35" s="160"/>
      <c r="E35" s="160"/>
      <c r="F35" s="162"/>
      <c r="G35" s="160"/>
    </row>
    <row r="36" spans="1:7" s="76" customFormat="1" ht="12.7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+Totaaloverzicht!H60</f>
        <v>2240252.1291403077</v>
      </c>
      <c r="E40" s="154"/>
      <c r="F40" s="155"/>
      <c r="G40" s="154"/>
    </row>
    <row r="41" spans="1:7" s="76" customFormat="1" ht="12.75" customHeight="1">
      <c r="A41" s="154"/>
      <c r="B41" s="153"/>
      <c r="C41" s="154" t="s">
        <v>166</v>
      </c>
      <c r="D41" s="165">
        <f>+B24</f>
        <v>112012.60621524147</v>
      </c>
      <c r="E41" s="154"/>
      <c r="F41" s="155"/>
      <c r="G41" s="154"/>
    </row>
    <row r="42" spans="1:7" s="76" customFormat="1" ht="12.75" customHeight="1">
      <c r="A42" s="154"/>
      <c r="B42" s="153"/>
      <c r="C42" s="154" t="s">
        <v>167</v>
      </c>
      <c r="D42" s="156">
        <f>SUM(D40:D41)</f>
        <v>2352264.735355549</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v>957379</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1.xml><?xml version="1.0" encoding="utf-8"?>
<worksheet xmlns="http://schemas.openxmlformats.org/spreadsheetml/2006/main" xmlns:r="http://schemas.openxmlformats.org/officeDocument/2006/relationships">
  <dimension ref="A1:L51"/>
  <sheetViews>
    <sheetView view="pageBreakPreview" zoomScale="80" zoomScaleNormal="75" zoomScaleSheetLayoutView="80" workbookViewId="0" topLeftCell="A1">
      <selection activeCell="E7" sqref="E7"/>
    </sheetView>
  </sheetViews>
  <sheetFormatPr defaultColWidth="9.140625" defaultRowHeight="12.75"/>
  <cols>
    <col min="1" max="1" width="33.7109375" style="85" customWidth="1"/>
    <col min="2" max="2" width="10.7109375" style="84" customWidth="1"/>
    <col min="3" max="3" width="36.574218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4">
        <f>+'2009'!A1+1</f>
        <v>2010</v>
      </c>
      <c r="B1" s="174"/>
      <c r="C1" s="174" t="s">
        <v>49</v>
      </c>
      <c r="D1" s="175"/>
      <c r="E1" s="174"/>
      <c r="F1" s="174"/>
      <c r="G1" s="174"/>
    </row>
    <row r="2" spans="1:7" s="76" customFormat="1" ht="12.75" customHeight="1">
      <c r="A2" s="174" t="s">
        <v>0</v>
      </c>
      <c r="B2" s="189"/>
      <c r="C2" s="174"/>
      <c r="D2" s="174"/>
      <c r="E2" s="174" t="s">
        <v>1</v>
      </c>
      <c r="F2" s="190"/>
      <c r="G2" s="174"/>
    </row>
    <row r="3" spans="1:7" s="76" customFormat="1" ht="12.75" customHeight="1">
      <c r="A3" s="174" t="s">
        <v>34</v>
      </c>
      <c r="B3" s="189" t="s">
        <v>35</v>
      </c>
      <c r="C3" s="174" t="s">
        <v>36</v>
      </c>
      <c r="D3" s="174"/>
      <c r="E3" s="174" t="s">
        <v>34</v>
      </c>
      <c r="F3" s="191" t="s">
        <v>35</v>
      </c>
      <c r="G3" s="174" t="s">
        <v>36</v>
      </c>
    </row>
    <row r="4" spans="1:7" s="76" customFormat="1" ht="78" customHeight="1">
      <c r="A4" s="192" t="s">
        <v>2</v>
      </c>
      <c r="B4" s="193">
        <f>+'2009'!B4*102.5%</f>
        <v>717.4999999999999</v>
      </c>
      <c r="C4" s="194" t="s">
        <v>210</v>
      </c>
      <c r="D4" s="174"/>
      <c r="E4" s="192" t="s">
        <v>198</v>
      </c>
      <c r="F4" s="195" t="s">
        <v>41</v>
      </c>
      <c r="G4" s="196" t="s">
        <v>171</v>
      </c>
    </row>
    <row r="5" spans="1:7" s="76" customFormat="1" ht="79.5" customHeight="1">
      <c r="A5" s="192" t="s">
        <v>199</v>
      </c>
      <c r="B5" s="193">
        <f>+'2009'!B5*102.5%</f>
        <v>0</v>
      </c>
      <c r="C5" s="194" t="s">
        <v>52</v>
      </c>
      <c r="D5" s="174"/>
      <c r="E5" s="192" t="s">
        <v>200</v>
      </c>
      <c r="F5" s="197" t="s">
        <v>41</v>
      </c>
      <c r="G5" s="194" t="s">
        <v>50</v>
      </c>
    </row>
    <row r="6" spans="1:7" s="76" customFormat="1" ht="117.75" customHeight="1">
      <c r="A6" s="192" t="s">
        <v>201</v>
      </c>
      <c r="B6" s="193">
        <f>+'2009'!B6*102.5%</f>
        <v>2664.9999999999995</v>
      </c>
      <c r="C6" s="194" t="s">
        <v>211</v>
      </c>
      <c r="D6" s="174"/>
      <c r="E6" s="174"/>
      <c r="F6" s="198"/>
      <c r="G6" s="174"/>
    </row>
    <row r="7" spans="1:7" s="76" customFormat="1" ht="99.75" customHeight="1">
      <c r="A7" s="192" t="s">
        <v>202</v>
      </c>
      <c r="B7" s="193">
        <v>4819</v>
      </c>
      <c r="C7" s="194" t="s">
        <v>174</v>
      </c>
      <c r="D7" s="174"/>
      <c r="E7" s="174"/>
      <c r="F7" s="199"/>
      <c r="G7" s="174"/>
    </row>
    <row r="8" spans="1:12" s="76" customFormat="1" ht="63" customHeight="1">
      <c r="A8" s="192" t="s">
        <v>203</v>
      </c>
      <c r="B8" s="193">
        <f>+'2009'!B8</f>
        <v>6545</v>
      </c>
      <c r="C8" s="194" t="str">
        <f>'2005'!D22</f>
        <v>Betreft de werkzaamheden van de treasurer excl. backoffice. Gerekend met 10 dagen op jaarbasis.</v>
      </c>
      <c r="D8" s="174"/>
      <c r="E8" s="174"/>
      <c r="F8" s="191"/>
      <c r="G8" s="174"/>
      <c r="L8" s="179"/>
    </row>
    <row r="9" spans="1:7" s="76" customFormat="1" ht="81" customHeight="1">
      <c r="A9" s="192" t="s">
        <v>3</v>
      </c>
      <c r="B9" s="193">
        <f>+'2009'!B9*102.5%</f>
        <v>4612.5</v>
      </c>
      <c r="C9" s="194" t="s">
        <v>46</v>
      </c>
      <c r="D9" s="174"/>
      <c r="E9" s="174"/>
      <c r="F9" s="191"/>
      <c r="G9" s="174"/>
    </row>
    <row r="10" spans="1:7" s="76" customFormat="1" ht="12.75" customHeight="1">
      <c r="A10" s="174"/>
      <c r="B10" s="200"/>
      <c r="C10" s="174"/>
      <c r="D10" s="174"/>
      <c r="E10" s="174"/>
      <c r="F10" s="201"/>
      <c r="G10" s="174"/>
    </row>
    <row r="11" spans="1:7" s="76" customFormat="1" ht="12.75" customHeight="1">
      <c r="A11" s="174"/>
      <c r="B11" s="189">
        <f>SUM(B4:B10)</f>
        <v>19359</v>
      </c>
      <c r="C11" s="174"/>
      <c r="D11" s="174"/>
      <c r="E11" s="174"/>
      <c r="F11" s="190">
        <f>SUM(F4:F10)</f>
        <v>0</v>
      </c>
      <c r="G11" s="174"/>
    </row>
    <row r="12" spans="1:7" s="76" customFormat="1" ht="19.5" customHeight="1">
      <c r="A12" s="202" t="s">
        <v>204</v>
      </c>
      <c r="B12" s="189"/>
      <c r="C12" s="174"/>
      <c r="D12" s="174"/>
      <c r="E12" s="202" t="s">
        <v>147</v>
      </c>
      <c r="F12" s="191"/>
      <c r="G12" s="174"/>
    </row>
    <row r="13" spans="1:7" s="76" customFormat="1" ht="45.75" customHeight="1">
      <c r="A13" s="194" t="s">
        <v>8</v>
      </c>
      <c r="B13" s="193">
        <f>+'2009'!B13*102.5%</f>
        <v>0</v>
      </c>
      <c r="C13" s="194" t="str">
        <f>'2004'!D16</f>
        <v>Niet van toepassing. Er zijn middelen beschikbaar. Een deel daarvan zal op de rekening-courant blijven staan.</v>
      </c>
      <c r="D13" s="174"/>
      <c r="E13" s="194" t="s">
        <v>4</v>
      </c>
      <c r="F13" s="203">
        <f>+Totaaloverzicht!J41</f>
        <v>80470.25</v>
      </c>
      <c r="G13" s="194" t="s">
        <v>188</v>
      </c>
    </row>
    <row r="14" spans="1:7" s="76" customFormat="1" ht="45" customHeight="1">
      <c r="A14" s="194" t="s">
        <v>29</v>
      </c>
      <c r="B14" s="193">
        <f>+'2009'!B14*102.5%</f>
        <v>0</v>
      </c>
      <c r="C14" s="194" t="s">
        <v>94</v>
      </c>
      <c r="D14" s="174"/>
      <c r="E14" s="194" t="s">
        <v>148</v>
      </c>
      <c r="F14" s="203">
        <f>+Totaaloverzicht!J40</f>
        <v>64231.238752566045</v>
      </c>
      <c r="G14" s="194" t="s">
        <v>173</v>
      </c>
    </row>
    <row r="15" spans="1:7" ht="30" customHeight="1">
      <c r="A15" s="194" t="s">
        <v>30</v>
      </c>
      <c r="B15" s="193">
        <f>+'2009'!B15*102.5%</f>
        <v>0</v>
      </c>
      <c r="C15" s="194" t="str">
        <f>'2005'!D19</f>
        <v>Geen bemiddeling, daardoor geen bemiddelingskosten.</v>
      </c>
      <c r="D15" s="174"/>
      <c r="E15" s="194" t="s">
        <v>6</v>
      </c>
      <c r="F15" s="203" t="str">
        <f>+Totaaloverzicht!G42</f>
        <v>p.m.</v>
      </c>
      <c r="G15" s="174"/>
    </row>
    <row r="16" spans="1:7" ht="33" customHeight="1">
      <c r="A16" s="194" t="str">
        <f>'2005'!A20</f>
        <v>d. aankoopkosten</v>
      </c>
      <c r="B16" s="193">
        <f>+'2009'!B16*102.5%</f>
        <v>1103.812890625</v>
      </c>
      <c r="C16" s="194" t="str">
        <f>'2005'!D20</f>
        <v>Kosten aandelen + obligaties uitzetting ontvangen heffing.</v>
      </c>
      <c r="D16" s="174"/>
      <c r="E16" s="194" t="s">
        <v>17</v>
      </c>
      <c r="F16" s="203" t="str">
        <f>+Totaaloverzicht!G43</f>
        <v>p.m.</v>
      </c>
      <c r="G16" s="174"/>
    </row>
    <row r="17" spans="1:7" ht="32.25" customHeight="1">
      <c r="A17" s="194" t="str">
        <f>'2005'!A21</f>
        <v>e. bewaarloon</v>
      </c>
      <c r="B17" s="193">
        <f>+'2009'!B17*102.5%</f>
        <v>1655.7193359374992</v>
      </c>
      <c r="C17" s="194" t="str">
        <f>'2005'!D21</f>
        <v>Kosten aanhouden effectendepot door bank.</v>
      </c>
      <c r="D17" s="174"/>
      <c r="E17" s="194" t="s">
        <v>7</v>
      </c>
      <c r="F17" s="203">
        <f>+Totaaloverzicht!G44</f>
        <v>0</v>
      </c>
      <c r="G17" s="174"/>
    </row>
    <row r="18" spans="1:7" ht="29.25" customHeight="1">
      <c r="A18" s="194" t="str">
        <f>'2005'!A23</f>
        <v>g. koersverschil</v>
      </c>
      <c r="B18" s="193">
        <f>+'2009'!B18*102.5%</f>
        <v>0</v>
      </c>
      <c r="C18" s="194" t="str">
        <f>'2005'!D23</f>
        <v>Koersontwikkeling, doet zich in de jaarrekening voor.</v>
      </c>
      <c r="D18" s="174"/>
      <c r="E18" s="174"/>
      <c r="F18" s="191"/>
      <c r="G18" s="191"/>
    </row>
    <row r="19" spans="1:7" ht="48.75" customHeight="1">
      <c r="A19" s="194" t="str">
        <f>'2005'!A24</f>
        <v>h. afschrijving agio/disagio</v>
      </c>
      <c r="B19" s="193">
        <v>4969.72</v>
      </c>
      <c r="C19" s="194" t="str">
        <f>'2005'!D24</f>
        <v>Dit doet zich voor als gelden worden uitgezet tegen lagere of hogere rente dan de marktrente. </v>
      </c>
      <c r="D19" s="174"/>
      <c r="E19" s="174"/>
      <c r="F19" s="191"/>
      <c r="G19" s="174"/>
    </row>
    <row r="20" spans="1:7" ht="5.25" customHeight="1">
      <c r="A20" s="194"/>
      <c r="B20" s="204"/>
      <c r="C20" s="194"/>
      <c r="D20" s="174"/>
      <c r="E20" s="174"/>
      <c r="F20" s="201"/>
      <c r="G20" s="174"/>
    </row>
    <row r="21" spans="1:7" ht="12.75" customHeight="1">
      <c r="A21" s="194"/>
      <c r="B21" s="189">
        <f>SUM(B13:B20)</f>
        <v>7729.252226562499</v>
      </c>
      <c r="C21" s="194"/>
      <c r="D21" s="174"/>
      <c r="E21" s="174"/>
      <c r="F21" s="191">
        <f>SUM(F13:F20)</f>
        <v>144701.48875256605</v>
      </c>
      <c r="G21" s="174"/>
    </row>
    <row r="22" spans="1:7" ht="12.75" customHeight="1">
      <c r="A22" s="174"/>
      <c r="B22" s="189"/>
      <c r="C22" s="174"/>
      <c r="D22" s="174"/>
      <c r="E22" s="174"/>
      <c r="F22" s="191"/>
      <c r="G22" s="174"/>
    </row>
    <row r="23" spans="1:7" ht="43.5" customHeight="1">
      <c r="A23" s="192" t="s">
        <v>205</v>
      </c>
      <c r="B23" s="203" t="s">
        <v>41</v>
      </c>
      <c r="C23" s="194"/>
      <c r="D23" s="194"/>
      <c r="E23" s="194"/>
      <c r="F23" s="203"/>
      <c r="G23" s="194"/>
    </row>
    <row r="24" spans="1:7" ht="62.25" customHeight="1">
      <c r="A24" s="192" t="s">
        <v>206</v>
      </c>
      <c r="B24" s="203">
        <f>+Totaaloverzicht!J24</f>
        <v>117613.23652600353</v>
      </c>
      <c r="C24" s="194" t="s">
        <v>169</v>
      </c>
      <c r="D24" s="194"/>
      <c r="E24" s="194"/>
      <c r="F24" s="203"/>
      <c r="G24" s="194"/>
    </row>
    <row r="25" spans="1:7" ht="48" customHeight="1">
      <c r="A25" s="192" t="s">
        <v>207</v>
      </c>
      <c r="B25" s="203">
        <f>+Totaaloverzicht!G25</f>
        <v>0</v>
      </c>
      <c r="C25" s="194" t="s">
        <v>51</v>
      </c>
      <c r="D25" s="194"/>
      <c r="E25" s="192"/>
      <c r="F25" s="203"/>
      <c r="G25" s="194"/>
    </row>
    <row r="26" spans="1:7" ht="48" customHeight="1">
      <c r="A26" s="192" t="s">
        <v>149</v>
      </c>
      <c r="B26" s="203">
        <f>+Totaaloverzicht!G26</f>
        <v>0</v>
      </c>
      <c r="C26" s="194" t="s">
        <v>172</v>
      </c>
      <c r="D26" s="194"/>
      <c r="E26" s="192" t="s">
        <v>153</v>
      </c>
      <c r="F26" s="203" t="s">
        <v>41</v>
      </c>
      <c r="G26" s="194" t="s">
        <v>170</v>
      </c>
    </row>
    <row r="27" spans="1:7" ht="46.5" customHeight="1">
      <c r="A27" s="192" t="s">
        <v>150</v>
      </c>
      <c r="B27" s="203">
        <f>+Totaaloverzicht!G27</f>
        <v>0</v>
      </c>
      <c r="C27" s="194" t="s">
        <v>178</v>
      </c>
      <c r="D27" s="194"/>
      <c r="E27" s="192" t="s">
        <v>152</v>
      </c>
      <c r="F27" s="203" t="s">
        <v>41</v>
      </c>
      <c r="G27" s="194" t="s">
        <v>179</v>
      </c>
    </row>
    <row r="28" spans="1:7" ht="30" customHeight="1">
      <c r="A28" s="192" t="s">
        <v>208</v>
      </c>
      <c r="B28" s="203">
        <f>+Totaaloverzicht!G28</f>
        <v>0</v>
      </c>
      <c r="C28" s="194" t="s">
        <v>43</v>
      </c>
      <c r="D28" s="194"/>
      <c r="E28" s="194"/>
      <c r="F28" s="203"/>
      <c r="G28" s="194"/>
    </row>
    <row r="29" spans="1:7" ht="12.75" customHeight="1">
      <c r="A29" s="194"/>
      <c r="B29" s="204"/>
      <c r="C29" s="194"/>
      <c r="D29" s="194"/>
      <c r="E29" s="194"/>
      <c r="F29" s="205"/>
      <c r="G29" s="194"/>
    </row>
    <row r="30" spans="1:7" ht="18.75" customHeight="1">
      <c r="A30" s="192"/>
      <c r="B30" s="189">
        <f>SUM(B23:B29)</f>
        <v>117613.23652600353</v>
      </c>
      <c r="C30" s="194"/>
      <c r="D30" s="194"/>
      <c r="E30" s="192"/>
      <c r="F30" s="199">
        <f>SUM(F24:F29)</f>
        <v>0</v>
      </c>
      <c r="G30" s="194"/>
    </row>
    <row r="31" spans="1:7" ht="12.75" customHeight="1">
      <c r="A31" s="194"/>
      <c r="B31" s="193"/>
      <c r="C31" s="194"/>
      <c r="D31" s="194"/>
      <c r="E31" s="194"/>
      <c r="F31" s="203"/>
      <c r="G31" s="194"/>
    </row>
    <row r="32" spans="1:7" ht="12.75" customHeight="1" thickBot="1">
      <c r="A32" s="174" t="s">
        <v>20</v>
      </c>
      <c r="B32" s="206">
        <f>SUM(B30+B21+B11)</f>
        <v>144701.48875256605</v>
      </c>
      <c r="C32" s="194"/>
      <c r="D32" s="194"/>
      <c r="E32" s="174" t="s">
        <v>21</v>
      </c>
      <c r="F32" s="207">
        <f>SUM(+F21+F11+F30)</f>
        <v>144701.48875256605</v>
      </c>
      <c r="G32" s="194"/>
    </row>
    <row r="33" spans="1:7" ht="16.5" customHeight="1" thickTop="1">
      <c r="A33" s="194"/>
      <c r="B33" s="193"/>
      <c r="C33" s="194"/>
      <c r="D33" s="194"/>
      <c r="E33" s="194"/>
      <c r="F33" s="203"/>
      <c r="G33" s="194"/>
    </row>
    <row r="34" spans="1:7" ht="3" customHeight="1">
      <c r="A34" s="194"/>
      <c r="B34" s="193"/>
      <c r="C34" s="194"/>
      <c r="D34" s="194"/>
      <c r="E34" s="194"/>
      <c r="F34" s="203"/>
      <c r="G34" s="194"/>
    </row>
    <row r="35" spans="1:7" ht="1.5" customHeight="1">
      <c r="A35" s="194"/>
      <c r="B35" s="193"/>
      <c r="C35" s="194"/>
      <c r="D35" s="194"/>
      <c r="E35" s="194"/>
      <c r="F35" s="203"/>
      <c r="G35" s="194"/>
    </row>
    <row r="36" spans="1:7" s="76" customFormat="1" ht="6.75" customHeight="1">
      <c r="A36" s="194"/>
      <c r="B36" s="193"/>
      <c r="C36" s="194"/>
      <c r="D36" s="194"/>
      <c r="E36" s="194"/>
      <c r="F36" s="203"/>
      <c r="G36" s="194"/>
    </row>
    <row r="37" spans="1:7" ht="15.75" customHeight="1">
      <c r="A37" s="218" t="s">
        <v>183</v>
      </c>
      <c r="B37" s="193"/>
      <c r="C37" s="174" t="s">
        <v>89</v>
      </c>
      <c r="D37" s="174"/>
      <c r="E37" s="194"/>
      <c r="F37" s="203"/>
      <c r="G37" s="194"/>
    </row>
    <row r="38" spans="1:7" s="76" customFormat="1" ht="17.25" customHeight="1">
      <c r="A38" s="218"/>
      <c r="B38" s="189"/>
      <c r="C38" s="174" t="s">
        <v>77</v>
      </c>
      <c r="D38" s="174"/>
      <c r="E38" s="189"/>
      <c r="F38" s="190"/>
      <c r="G38" s="174"/>
    </row>
    <row r="39" spans="1:7" s="152" customFormat="1" ht="12.75" customHeight="1">
      <c r="A39" s="174"/>
      <c r="B39" s="189"/>
      <c r="C39" s="174"/>
      <c r="D39" s="174"/>
      <c r="E39" s="189"/>
      <c r="F39" s="190"/>
      <c r="G39" s="174"/>
    </row>
    <row r="40" spans="1:7" s="152" customFormat="1" ht="16.5" customHeight="1">
      <c r="A40" s="174" t="s">
        <v>164</v>
      </c>
      <c r="B40" s="95"/>
      <c r="C40" s="174" t="s">
        <v>165</v>
      </c>
      <c r="D40" s="189">
        <f>+Totaaloverzicht!I60</f>
        <v>2352264.735355549</v>
      </c>
      <c r="E40" s="174"/>
      <c r="F40" s="190"/>
      <c r="G40" s="174"/>
    </row>
    <row r="41" spans="1:7" s="76" customFormat="1" ht="15.75" customHeight="1">
      <c r="A41" s="174"/>
      <c r="B41" s="95"/>
      <c r="C41" s="174" t="s">
        <v>166</v>
      </c>
      <c r="D41" s="200">
        <f>+B24</f>
        <v>117613.23652600353</v>
      </c>
      <c r="E41" s="174"/>
      <c r="F41" s="190"/>
      <c r="G41" s="174"/>
    </row>
    <row r="42" spans="1:7" s="76" customFormat="1" ht="16.5" customHeight="1">
      <c r="A42" s="174"/>
      <c r="B42" s="95"/>
      <c r="C42" s="174" t="s">
        <v>167</v>
      </c>
      <c r="D42" s="189">
        <f>SUM(D40:D41)</f>
        <v>2469877.9718815526</v>
      </c>
      <c r="E42" s="174"/>
      <c r="F42" s="190"/>
      <c r="G42" s="174"/>
    </row>
    <row r="43" spans="1:7" ht="12.75" customHeight="1">
      <c r="A43" s="194"/>
      <c r="B43" s="193"/>
      <c r="C43" s="194"/>
      <c r="D43" s="194"/>
      <c r="E43" s="194"/>
      <c r="F43" s="203"/>
      <c r="G43" s="194"/>
    </row>
    <row r="44" spans="1:7" ht="12.75" customHeight="1">
      <c r="A44" s="194"/>
      <c r="B44" s="193"/>
      <c r="C44" s="194"/>
      <c r="D44" s="194"/>
      <c r="E44" s="194"/>
      <c r="F44" s="203"/>
      <c r="G44" s="194"/>
    </row>
    <row r="45" spans="1:7" ht="18.75" customHeight="1">
      <c r="A45" s="174" t="s">
        <v>168</v>
      </c>
      <c r="B45" s="193"/>
      <c r="C45" s="174" t="s">
        <v>165</v>
      </c>
      <c r="D45" s="189">
        <f>+Totaaloverzicht!H62</f>
        <v>957379.23</v>
      </c>
      <c r="E45" s="194"/>
      <c r="F45" s="203"/>
      <c r="G45" s="194"/>
    </row>
    <row r="46" spans="1:7" ht="17.25" customHeight="1">
      <c r="A46" s="194"/>
      <c r="B46" s="193"/>
      <c r="C46" s="174" t="s">
        <v>166</v>
      </c>
      <c r="D46" s="200"/>
      <c r="E46" s="194"/>
      <c r="F46" s="203"/>
      <c r="G46" s="194"/>
    </row>
    <row r="47" spans="1:7" ht="16.5" customHeight="1">
      <c r="A47" s="194"/>
      <c r="B47" s="193"/>
      <c r="C47" s="174" t="s">
        <v>167</v>
      </c>
      <c r="D47" s="189">
        <f>SUM(D45:D46)</f>
        <v>957379.23</v>
      </c>
      <c r="E47" s="194"/>
      <c r="F47" s="203"/>
      <c r="G47" s="194"/>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2" manualBreakCount="2">
    <brk id="11" max="6" man="1"/>
    <brk id="36" max="6" man="1"/>
  </rowBreaks>
</worksheet>
</file>

<file path=xl/worksheets/sheet12.xml><?xml version="1.0" encoding="utf-8"?>
<worksheet xmlns="http://schemas.openxmlformats.org/spreadsheetml/2006/main" xmlns:r="http://schemas.openxmlformats.org/officeDocument/2006/relationships">
  <dimension ref="A1:L51"/>
  <sheetViews>
    <sheetView view="pageBreakPreview" zoomScale="80" zoomScaleNormal="75" zoomScaleSheetLayoutView="80" workbookViewId="0" topLeftCell="A1">
      <selection activeCell="F8" sqref="F8"/>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+'2010'!A1+1</f>
        <v>2011</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63" customHeight="1">
      <c r="A4" s="158" t="s">
        <v>2</v>
      </c>
      <c r="B4" s="159">
        <f>+'2010'!B4*102.5%</f>
        <v>735.4374999999998</v>
      </c>
      <c r="C4" s="160" t="s">
        <v>210</v>
      </c>
      <c r="D4" s="154"/>
      <c r="E4" s="158" t="s">
        <v>154</v>
      </c>
      <c r="F4" s="161" t="s">
        <v>41</v>
      </c>
      <c r="G4" s="177" t="s">
        <v>171</v>
      </c>
    </row>
    <row r="5" spans="1:7" s="76" customFormat="1" ht="56.25" customHeight="1">
      <c r="A5" s="158" t="s">
        <v>155</v>
      </c>
      <c r="B5" s="159">
        <f>+'2010'!B5*102.5%</f>
        <v>0</v>
      </c>
      <c r="C5" s="160" t="s">
        <v>52</v>
      </c>
      <c r="D5" s="154"/>
      <c r="E5" s="158" t="s">
        <v>156</v>
      </c>
      <c r="F5" s="168" t="s">
        <v>41</v>
      </c>
      <c r="G5" s="160" t="s">
        <v>50</v>
      </c>
    </row>
    <row r="6" spans="1:7" s="76" customFormat="1" ht="98.25" customHeight="1">
      <c r="A6" s="158" t="s">
        <v>157</v>
      </c>
      <c r="B6" s="159">
        <f>+'2010'!B6*102.5%</f>
        <v>2731.624999999999</v>
      </c>
      <c r="C6" s="160" t="s">
        <v>211</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f>+'2010'!B8</f>
        <v>6545</v>
      </c>
      <c r="C8" s="160" t="str">
        <f>'2005'!D22</f>
        <v>Betreft de werkzaamheden van de treasurer excl. backoffice. Gerekend met 10 dagen op jaarbasis.</v>
      </c>
      <c r="D8" s="154"/>
      <c r="E8" s="154"/>
      <c r="F8" s="157"/>
      <c r="G8" s="154"/>
      <c r="L8" s="179"/>
    </row>
    <row r="9" spans="1:7" s="76" customFormat="1" ht="52.5" customHeight="1">
      <c r="A9" s="158" t="s">
        <v>3</v>
      </c>
      <c r="B9" s="159">
        <f>+'2010'!B9*102.5%</f>
        <v>4727.8125</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19558.875</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+'2010'!B13*102.5%</f>
        <v>0</v>
      </c>
      <c r="C13" s="160" t="str">
        <f>'2004'!D16</f>
        <v>Niet van toepassing. Er zijn middelen beschikbaar. Een deel daarvan zal op de rekening-courant blijven staan.</v>
      </c>
      <c r="D13" s="154"/>
      <c r="E13" s="160" t="s">
        <v>4</v>
      </c>
      <c r="F13" s="162">
        <f>+Totaaloverzicht!K41</f>
        <v>80470.25</v>
      </c>
      <c r="G13" s="160" t="s">
        <v>189</v>
      </c>
    </row>
    <row r="14" spans="1:7" s="76" customFormat="1" ht="45" customHeight="1">
      <c r="A14" s="160" t="s">
        <v>29</v>
      </c>
      <c r="B14" s="159">
        <f>+'2010'!B14*102.5%</f>
        <v>0</v>
      </c>
      <c r="C14" s="160" t="s">
        <v>94</v>
      </c>
      <c r="D14" s="154"/>
      <c r="E14" s="160" t="s">
        <v>148</v>
      </c>
      <c r="F14" s="162">
        <f>+Totaaloverzicht!K40</f>
        <v>69514.09388453024</v>
      </c>
      <c r="G14" s="160" t="s">
        <v>173</v>
      </c>
    </row>
    <row r="15" spans="1:7" ht="25.5" customHeight="1">
      <c r="A15" s="160" t="s">
        <v>30</v>
      </c>
      <c r="B15" s="159">
        <f>+'2010'!B15*102.5%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+'2010'!B16*102.5%</f>
        <v>1131.4082128906248</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+'2010'!B17*102.5%</f>
        <v>1697.1123193359365</v>
      </c>
      <c r="C17" s="160" t="str">
        <f>'2005'!D21</f>
        <v>Kosten aanhouden effectendepot door bank.</v>
      </c>
      <c r="D17" s="154"/>
      <c r="E17" s="160" t="s">
        <v>7</v>
      </c>
      <c r="F17" s="162">
        <f>+Totaaloverzicht!G44</f>
        <v>0</v>
      </c>
      <c r="G17" s="154"/>
    </row>
    <row r="18" spans="1:7" ht="29.25" customHeight="1">
      <c r="A18" s="160" t="str">
        <f>'2005'!A23</f>
        <v>g. koersverschil</v>
      </c>
      <c r="B18" s="159">
        <f>+'2010'!B18*102.5%</f>
        <v>0</v>
      </c>
      <c r="C18" s="160" t="str">
        <f>'2005'!D23</f>
        <v>Koersontwikkeling, doet zich in de jaarrekening voor.</v>
      </c>
      <c r="D18" s="154"/>
      <c r="E18" s="154"/>
      <c r="F18" s="157"/>
      <c r="G18" s="157"/>
    </row>
    <row r="19" spans="1:7" ht="42.75" customHeight="1">
      <c r="A19" s="160" t="str">
        <f>'2005'!A24</f>
        <v>h. afschrijving agio/disagio</v>
      </c>
      <c r="B19" s="159">
        <f>+'agio berekening'!N14</f>
        <v>4103.05</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6931.570532226561</v>
      </c>
      <c r="C21" s="160"/>
      <c r="D21" s="154"/>
      <c r="E21" s="154"/>
      <c r="F21" s="157">
        <f>SUM(F13:F20)</f>
        <v>149984.34388453024</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+Totaaloverzicht!K24</f>
        <v>123493.89835230369</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t="s">
        <v>41</v>
      </c>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123493.89835230369</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149984.34388453024</v>
      </c>
      <c r="C32" s="160"/>
      <c r="D32" s="160"/>
      <c r="E32" s="154" t="s">
        <v>21</v>
      </c>
      <c r="F32" s="173">
        <f>SUM(+F21+F11+F30)</f>
        <v>149984.34388453024</v>
      </c>
      <c r="G32" s="160"/>
    </row>
    <row r="33" spans="1:7" ht="12.75" customHeight="1" thickTop="1">
      <c r="A33" s="160"/>
      <c r="B33" s="159"/>
      <c r="C33" s="160"/>
      <c r="D33" s="160"/>
      <c r="E33" s="160"/>
      <c r="F33" s="162"/>
      <c r="G33" s="160"/>
    </row>
    <row r="34" spans="1:7" ht="10.5" customHeight="1">
      <c r="A34" s="160"/>
      <c r="B34" s="159"/>
      <c r="C34" s="160"/>
      <c r="D34" s="160"/>
      <c r="E34" s="160"/>
      <c r="F34" s="162"/>
      <c r="G34" s="160"/>
    </row>
    <row r="35" spans="1:7" ht="12.75" customHeight="1" hidden="1">
      <c r="A35" s="160"/>
      <c r="B35" s="159"/>
      <c r="C35" s="160"/>
      <c r="D35" s="160"/>
      <c r="E35" s="160"/>
      <c r="F35" s="162"/>
      <c r="G35" s="160"/>
    </row>
    <row r="36" spans="1:7" s="76" customFormat="1" ht="2.2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+Totaaloverzicht!J60</f>
        <v>2469877.9718815526</v>
      </c>
      <c r="E40" s="154"/>
      <c r="F40" s="155"/>
      <c r="G40" s="154"/>
    </row>
    <row r="41" spans="1:7" s="76" customFormat="1" ht="12.75" customHeight="1">
      <c r="A41" s="154"/>
      <c r="B41" s="153"/>
      <c r="C41" s="154" t="s">
        <v>166</v>
      </c>
      <c r="D41" s="165">
        <f>+B24</f>
        <v>123493.89835230369</v>
      </c>
      <c r="E41" s="154"/>
      <c r="F41" s="155"/>
      <c r="G41" s="154"/>
    </row>
    <row r="42" spans="1:7" s="76" customFormat="1" ht="12.75" customHeight="1">
      <c r="A42" s="154"/>
      <c r="B42" s="153"/>
      <c r="C42" s="154" t="s">
        <v>167</v>
      </c>
      <c r="D42" s="156">
        <f>SUM(D40:D41)</f>
        <v>2593371.870233856</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3.xml><?xml version="1.0" encoding="utf-8"?>
<worksheet xmlns="http://schemas.openxmlformats.org/spreadsheetml/2006/main" xmlns:r="http://schemas.openxmlformats.org/officeDocument/2006/relationships">
  <dimension ref="A1:L51"/>
  <sheetViews>
    <sheetView view="pageBreakPreview" zoomScale="60" zoomScaleNormal="75" workbookViewId="0" topLeftCell="A1">
      <selection activeCell="G7" sqref="G7"/>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+'2011'!A1+1</f>
        <v>2012</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65.25" customHeight="1">
      <c r="A4" s="158" t="s">
        <v>2</v>
      </c>
      <c r="B4" s="159">
        <f>+'2011'!B4*102.5%</f>
        <v>753.8234374999997</v>
      </c>
      <c r="C4" s="160" t="s">
        <v>210</v>
      </c>
      <c r="D4" s="154"/>
      <c r="E4" s="158" t="s">
        <v>154</v>
      </c>
      <c r="F4" s="161" t="s">
        <v>41</v>
      </c>
      <c r="G4" s="177" t="s">
        <v>171</v>
      </c>
    </row>
    <row r="5" spans="1:7" s="76" customFormat="1" ht="69.75" customHeight="1">
      <c r="A5" s="158" t="s">
        <v>155</v>
      </c>
      <c r="B5" s="159">
        <f>+'2011'!B5*102.5%</f>
        <v>0</v>
      </c>
      <c r="C5" s="160" t="s">
        <v>52</v>
      </c>
      <c r="D5" s="154"/>
      <c r="E5" s="158" t="s">
        <v>156</v>
      </c>
      <c r="F5" s="168" t="s">
        <v>41</v>
      </c>
      <c r="G5" s="160" t="s">
        <v>50</v>
      </c>
    </row>
    <row r="6" spans="1:7" s="76" customFormat="1" ht="93.75" customHeight="1">
      <c r="A6" s="158" t="s">
        <v>157</v>
      </c>
      <c r="B6" s="159">
        <f>+'2011'!B6*102.5%</f>
        <v>2799.9156249999987</v>
      </c>
      <c r="C6" s="160" t="s">
        <v>211</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f>+'2011'!B8*102.5%</f>
        <v>6708.624999999999</v>
      </c>
      <c r="C8" s="160" t="str">
        <f>'2005'!D22</f>
        <v>Betreft de werkzaamheden van de treasurer excl. backoffice. Gerekend met 10 dagen op jaarbasis.</v>
      </c>
      <c r="D8" s="154"/>
      <c r="E8" s="154"/>
      <c r="F8" s="157"/>
      <c r="G8" s="154"/>
      <c r="L8" s="179"/>
    </row>
    <row r="9" spans="1:7" s="76" customFormat="1" ht="52.5" customHeight="1">
      <c r="A9" s="158" t="s">
        <v>3</v>
      </c>
      <c r="B9" s="159">
        <f>+'2011'!B9*102.5%</f>
        <v>4846.0078125</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19927.371874999997</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+'2011'!B13*102.5%</f>
        <v>0</v>
      </c>
      <c r="C13" s="160" t="str">
        <f>'2004'!D16</f>
        <v>Niet van toepassing. Er zijn middelen beschikbaar. Een deel daarvan zal op de rekening-courant blijven staan.</v>
      </c>
      <c r="D13" s="154"/>
      <c r="E13" s="160" t="s">
        <v>4</v>
      </c>
      <c r="F13" s="162">
        <f>+Totaaloverzicht!L41</f>
        <v>80470.25</v>
      </c>
      <c r="G13" s="160" t="s">
        <v>190</v>
      </c>
    </row>
    <row r="14" spans="1:7" s="76" customFormat="1" ht="45" customHeight="1">
      <c r="A14" s="160" t="s">
        <v>29</v>
      </c>
      <c r="B14" s="159">
        <f>+'2011'!B14*102.5%</f>
        <v>0</v>
      </c>
      <c r="C14" s="160" t="s">
        <v>94</v>
      </c>
      <c r="D14" s="154"/>
      <c r="E14" s="160" t="s">
        <v>148</v>
      </c>
      <c r="F14" s="162">
        <f>+Totaaloverzicht!L40</f>
        <v>75096.92869045111</v>
      </c>
      <c r="G14" s="160" t="s">
        <v>173</v>
      </c>
    </row>
    <row r="15" spans="1:7" ht="25.5" customHeight="1">
      <c r="A15" s="160" t="s">
        <v>30</v>
      </c>
      <c r="B15" s="159">
        <f>+'2011'!B15*102.5%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+'2011'!B16*102.5%</f>
        <v>1159.6934182128903</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+'2011'!B17*102.5%</f>
        <v>1739.5401273193347</v>
      </c>
      <c r="C17" s="160" t="str">
        <f>'2005'!D21</f>
        <v>Kosten aanhouden effectendepot door bank.</v>
      </c>
      <c r="D17" s="154"/>
      <c r="E17" s="160" t="s">
        <v>7</v>
      </c>
      <c r="F17" s="162">
        <f>+Totaaloverzicht!G44</f>
        <v>0</v>
      </c>
      <c r="G17" s="154"/>
    </row>
    <row r="18" spans="1:7" ht="29.25" customHeight="1">
      <c r="A18" s="160" t="str">
        <f>'2005'!A23</f>
        <v>g. koersverschil</v>
      </c>
      <c r="B18" s="159">
        <f>+'2011'!B18*102.5%</f>
        <v>0</v>
      </c>
      <c r="C18" s="160" t="str">
        <f>'2005'!D23</f>
        <v>Koersontwikkeling, doet zich in de jaarrekening voor.</v>
      </c>
      <c r="D18" s="154"/>
      <c r="E18" s="154"/>
      <c r="F18" s="157"/>
      <c r="G18" s="157"/>
    </row>
    <row r="19" spans="1:7" ht="42.75" customHeight="1">
      <c r="A19" s="160" t="str">
        <f>'2005'!A24</f>
        <v>h. afschrijving agio/disagio</v>
      </c>
      <c r="B19" s="159">
        <f>+'agio berekening'!O14</f>
        <v>3071.9799999999996</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5971.213545532224</v>
      </c>
      <c r="C21" s="160"/>
      <c r="D21" s="154"/>
      <c r="E21" s="154"/>
      <c r="F21" s="157">
        <f>SUM(F13:F20)</f>
        <v>155567.1786904511</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+Totaaloverzicht!L24</f>
        <v>129668.59326991889</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t="s">
        <v>41</v>
      </c>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129668.59326991889</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155567.17869045108</v>
      </c>
      <c r="C32" s="160"/>
      <c r="D32" s="160"/>
      <c r="E32" s="154" t="s">
        <v>21</v>
      </c>
      <c r="F32" s="173">
        <f>SUM(+F21+F11+F30)</f>
        <v>155567.1786904511</v>
      </c>
      <c r="G32" s="160"/>
    </row>
    <row r="33" spans="1:7" ht="12.75" customHeight="1" thickTop="1">
      <c r="A33" s="160"/>
      <c r="B33" s="159"/>
      <c r="C33" s="160"/>
      <c r="D33" s="160"/>
      <c r="E33" s="160"/>
      <c r="F33" s="162"/>
      <c r="G33" s="160"/>
    </row>
    <row r="34" spans="1:7" ht="3" customHeight="1">
      <c r="A34" s="160"/>
      <c r="B34" s="159"/>
      <c r="C34" s="160"/>
      <c r="D34" s="160"/>
      <c r="E34" s="160"/>
      <c r="F34" s="162"/>
      <c r="G34" s="160"/>
    </row>
    <row r="35" spans="1:7" ht="1.5" customHeight="1">
      <c r="A35" s="160"/>
      <c r="B35" s="159"/>
      <c r="C35" s="160"/>
      <c r="D35" s="160"/>
      <c r="E35" s="160"/>
      <c r="F35" s="162"/>
      <c r="G35" s="160"/>
    </row>
    <row r="36" spans="1:7" s="76" customFormat="1" ht="12.7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+Totaaloverzicht!K60</f>
        <v>2593371.870233856</v>
      </c>
      <c r="E40" s="154"/>
      <c r="F40" s="155"/>
      <c r="G40" s="154"/>
    </row>
    <row r="41" spans="1:7" s="76" customFormat="1" ht="12.75" customHeight="1">
      <c r="A41" s="154"/>
      <c r="B41" s="153"/>
      <c r="C41" s="154" t="s">
        <v>166</v>
      </c>
      <c r="D41" s="165">
        <f>+B24</f>
        <v>129668.59326991889</v>
      </c>
      <c r="E41" s="154"/>
      <c r="F41" s="155"/>
      <c r="G41" s="154"/>
    </row>
    <row r="42" spans="1:7" s="76" customFormat="1" ht="12.75" customHeight="1">
      <c r="A42" s="154"/>
      <c r="B42" s="153"/>
      <c r="C42" s="154" t="s">
        <v>167</v>
      </c>
      <c r="D42" s="156">
        <f>SUM(D40:D41)</f>
        <v>2723040.463503775</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4.xml><?xml version="1.0" encoding="utf-8"?>
<worksheet xmlns="http://schemas.openxmlformats.org/spreadsheetml/2006/main" xmlns:r="http://schemas.openxmlformats.org/officeDocument/2006/relationships">
  <dimension ref="A1:L51"/>
  <sheetViews>
    <sheetView view="pageBreakPreview" zoomScale="80" zoomScaleNormal="75" zoomScaleSheetLayoutView="80" workbookViewId="0" topLeftCell="A1">
      <selection activeCell="F9" sqref="F9"/>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+'2012'!A1+1</f>
        <v>2013</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71.25" customHeight="1">
      <c r="A4" s="158" t="s">
        <v>2</v>
      </c>
      <c r="B4" s="159">
        <f>+'2012'!B4*102.5%</f>
        <v>772.6690234374996</v>
      </c>
      <c r="C4" s="160" t="s">
        <v>210</v>
      </c>
      <c r="D4" s="154"/>
      <c r="E4" s="158" t="s">
        <v>154</v>
      </c>
      <c r="F4" s="161" t="s">
        <v>41</v>
      </c>
      <c r="G4" s="177" t="s">
        <v>171</v>
      </c>
    </row>
    <row r="5" spans="1:7" s="76" customFormat="1" ht="70.5" customHeight="1">
      <c r="A5" s="158" t="s">
        <v>155</v>
      </c>
      <c r="B5" s="159">
        <f>+'2012'!B5*102.5%</f>
        <v>0</v>
      </c>
      <c r="C5" s="160" t="s">
        <v>52</v>
      </c>
      <c r="D5" s="154"/>
      <c r="E5" s="158" t="s">
        <v>156</v>
      </c>
      <c r="F5" s="168" t="s">
        <v>41</v>
      </c>
      <c r="G5" s="160" t="s">
        <v>50</v>
      </c>
    </row>
    <row r="6" spans="1:7" s="76" customFormat="1" ht="98.25" customHeight="1">
      <c r="A6" s="158" t="s">
        <v>157</v>
      </c>
      <c r="B6" s="159">
        <f>+'2012'!B6*102.5%</f>
        <v>2869.9135156249986</v>
      </c>
      <c r="C6" s="160" t="s">
        <v>211</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f>+'2012'!B8</f>
        <v>6708.624999999999</v>
      </c>
      <c r="C8" s="160" t="str">
        <f>'2005'!D22</f>
        <v>Betreft de werkzaamheden van de treasurer excl. backoffice. Gerekend met 10 dagen op jaarbasis.</v>
      </c>
      <c r="D8" s="154"/>
      <c r="E8" s="154"/>
      <c r="F8" s="157"/>
      <c r="G8" s="154"/>
      <c r="L8" s="179"/>
    </row>
    <row r="9" spans="1:7" s="76" customFormat="1" ht="52.5" customHeight="1">
      <c r="A9" s="158" t="s">
        <v>3</v>
      </c>
      <c r="B9" s="159">
        <f>+'2012'!B9*102.5%</f>
        <v>4967.1580078125</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20137.365546874997</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+'2012'!B13*102.5%</f>
        <v>0</v>
      </c>
      <c r="C13" s="160" t="str">
        <f>'2004'!D16</f>
        <v>Niet van toepassing. Er zijn middelen beschikbaar. Een deel daarvan zal op de rekening-courant blijven staan.</v>
      </c>
      <c r="D13" s="154"/>
      <c r="E13" s="160" t="s">
        <v>4</v>
      </c>
      <c r="F13" s="162">
        <f>+Totaaloverzicht!M41</f>
        <v>80470.25</v>
      </c>
      <c r="G13" s="160" t="s">
        <v>191</v>
      </c>
    </row>
    <row r="14" spans="1:7" s="76" customFormat="1" ht="45" customHeight="1">
      <c r="A14" s="160" t="s">
        <v>29</v>
      </c>
      <c r="B14" s="159">
        <f>+'2012'!B14*102.5%</f>
        <v>0</v>
      </c>
      <c r="C14" s="160" t="s">
        <v>94</v>
      </c>
      <c r="D14" s="154"/>
      <c r="E14" s="160" t="s">
        <v>148</v>
      </c>
      <c r="F14" s="162">
        <f>+Totaaloverzicht!M40</f>
        <v>79621.55286446033</v>
      </c>
      <c r="G14" s="160" t="s">
        <v>173</v>
      </c>
    </row>
    <row r="15" spans="1:7" ht="25.5" customHeight="1">
      <c r="A15" s="160" t="s">
        <v>30</v>
      </c>
      <c r="B15" s="159">
        <f>+'2012'!B15*102.5%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+'2012'!B16*102.5%</f>
        <v>1188.6857536682123</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+'2012'!B17*102.5%</f>
        <v>1783.028630502318</v>
      </c>
      <c r="C17" s="160" t="str">
        <f>'2005'!D21</f>
        <v>Kosten aanhouden effectendepot door bank.</v>
      </c>
      <c r="D17" s="154"/>
      <c r="E17" s="160" t="s">
        <v>7</v>
      </c>
      <c r="F17" s="162">
        <f>+Totaaloverzicht!G44</f>
        <v>0</v>
      </c>
      <c r="G17" s="154"/>
    </row>
    <row r="18" spans="1:7" ht="29.25" customHeight="1">
      <c r="A18" s="160" t="str">
        <f>'2005'!A23</f>
        <v>g. koersverschil</v>
      </c>
      <c r="B18" s="159">
        <f>+'2012'!B18*102.5%</f>
        <v>0</v>
      </c>
      <c r="C18" s="160" t="str">
        <f>'2005'!D23</f>
        <v>Koersontwikkeling, doet zich in de jaarrekening voor.</v>
      </c>
      <c r="D18" s="154"/>
      <c r="E18" s="154"/>
      <c r="F18" s="157"/>
      <c r="G18" s="157"/>
    </row>
    <row r="19" spans="1:7" ht="42.75" customHeight="1">
      <c r="A19" s="160" t="str">
        <f>'2005'!A24</f>
        <v>h. afschrijving agio/disagio</v>
      </c>
      <c r="B19" s="159">
        <f>+'agio berekening'!P14</f>
        <v>830.7</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3802.41438417053</v>
      </c>
      <c r="C21" s="160"/>
      <c r="D21" s="154"/>
      <c r="E21" s="154"/>
      <c r="F21" s="157">
        <f>SUM(F13:F20)</f>
        <v>160091.80286446033</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+Totaaloverzicht!M24</f>
        <v>136152.02293341482</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136152.02293341482</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160091.80286446033</v>
      </c>
      <c r="C32" s="160"/>
      <c r="D32" s="160"/>
      <c r="E32" s="154" t="s">
        <v>21</v>
      </c>
      <c r="F32" s="173">
        <f>SUM(+F21+F11+F30)</f>
        <v>160091.80286446033</v>
      </c>
      <c r="G32" s="160"/>
    </row>
    <row r="33" spans="1:7" ht="12.75" customHeight="1" thickTop="1">
      <c r="A33" s="160"/>
      <c r="B33" s="159"/>
      <c r="C33" s="160"/>
      <c r="D33" s="160"/>
      <c r="E33" s="160"/>
      <c r="F33" s="162"/>
      <c r="G33" s="160"/>
    </row>
    <row r="34" spans="1:7" ht="2.25" customHeight="1">
      <c r="A34" s="160"/>
      <c r="B34" s="159"/>
      <c r="C34" s="160"/>
      <c r="D34" s="160"/>
      <c r="E34" s="160"/>
      <c r="F34" s="162"/>
      <c r="G34" s="160"/>
    </row>
    <row r="35" spans="1:7" ht="2.25" customHeight="1">
      <c r="A35" s="160"/>
      <c r="B35" s="159"/>
      <c r="C35" s="160"/>
      <c r="D35" s="160"/>
      <c r="E35" s="160"/>
      <c r="F35" s="162"/>
      <c r="G35" s="160"/>
    </row>
    <row r="36" spans="1:7" s="76" customFormat="1" ht="12.7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+Totaaloverzicht!L60</f>
        <v>2723040.463503775</v>
      </c>
      <c r="E40" s="154"/>
      <c r="F40" s="155"/>
      <c r="G40" s="154"/>
    </row>
    <row r="41" spans="1:7" s="76" customFormat="1" ht="12.75" customHeight="1">
      <c r="A41" s="154"/>
      <c r="B41" s="153"/>
      <c r="C41" s="154" t="s">
        <v>166</v>
      </c>
      <c r="D41" s="165">
        <f>+B24</f>
        <v>136152.02293341482</v>
      </c>
      <c r="E41" s="154"/>
      <c r="F41" s="155"/>
      <c r="G41" s="154"/>
    </row>
    <row r="42" spans="1:7" s="76" customFormat="1" ht="12.75" customHeight="1">
      <c r="A42" s="154"/>
      <c r="B42" s="153"/>
      <c r="C42" s="154" t="s">
        <v>167</v>
      </c>
      <c r="D42" s="156">
        <f>SUM(D40:D41)</f>
        <v>2859192.48643719</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5.xml><?xml version="1.0" encoding="utf-8"?>
<worksheet xmlns="http://schemas.openxmlformats.org/spreadsheetml/2006/main" xmlns:r="http://schemas.openxmlformats.org/officeDocument/2006/relationships">
  <dimension ref="A1:L51"/>
  <sheetViews>
    <sheetView view="pageBreakPreview" zoomScale="75" zoomScaleNormal="75" zoomScaleSheetLayoutView="75" workbookViewId="0" topLeftCell="A1">
      <selection activeCell="F8" sqref="F8"/>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+'2013'!A1+1</f>
        <v>2014</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63" customHeight="1">
      <c r="A4" s="158" t="s">
        <v>2</v>
      </c>
      <c r="B4" s="159">
        <f>+'2013'!B4*102.5%</f>
        <v>791.985749023437</v>
      </c>
      <c r="C4" s="160" t="s">
        <v>210</v>
      </c>
      <c r="D4" s="154"/>
      <c r="E4" s="158" t="s">
        <v>154</v>
      </c>
      <c r="F4" s="161" t="s">
        <v>41</v>
      </c>
      <c r="G4" s="177" t="s">
        <v>171</v>
      </c>
    </row>
    <row r="5" spans="1:7" s="76" customFormat="1" ht="58.5" customHeight="1">
      <c r="A5" s="158" t="s">
        <v>155</v>
      </c>
      <c r="B5" s="159">
        <f>+'2013'!B5*102.5%</f>
        <v>0</v>
      </c>
      <c r="C5" s="160" t="s">
        <v>52</v>
      </c>
      <c r="D5" s="154"/>
      <c r="E5" s="158" t="s">
        <v>156</v>
      </c>
      <c r="F5" s="168" t="s">
        <v>41</v>
      </c>
      <c r="G5" s="160" t="s">
        <v>50</v>
      </c>
    </row>
    <row r="6" spans="1:7" s="76" customFormat="1" ht="82.5" customHeight="1">
      <c r="A6" s="158" t="s">
        <v>157</v>
      </c>
      <c r="B6" s="159">
        <f>+'2013'!B6*102.5%</f>
        <v>2941.6613535156234</v>
      </c>
      <c r="C6" s="160" t="s">
        <v>211</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f>+'2013'!B8</f>
        <v>6708.624999999999</v>
      </c>
      <c r="C8" s="160" t="str">
        <f>'2005'!D22</f>
        <v>Betreft de werkzaamheden van de treasurer excl. backoffice. Gerekend met 10 dagen op jaarbasis.</v>
      </c>
      <c r="D8" s="154"/>
      <c r="E8" s="154"/>
      <c r="F8" s="157"/>
      <c r="G8" s="154"/>
      <c r="L8" s="179"/>
    </row>
    <row r="9" spans="1:7" s="76" customFormat="1" ht="52.5" customHeight="1">
      <c r="A9" s="158" t="s">
        <v>3</v>
      </c>
      <c r="B9" s="159">
        <f>+'2013'!B9*102.5%</f>
        <v>5091.3369580078115</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20352.60906054687</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+'2013'!B13*102.5%</f>
        <v>0</v>
      </c>
      <c r="C13" s="160" t="str">
        <f>'2004'!D16</f>
        <v>Niet van toepassing. Er zijn middelen beschikbaar. Een deel daarvan zal op de rekening-courant blijven staan.</v>
      </c>
      <c r="D13" s="154"/>
      <c r="E13" s="160" t="s">
        <v>4</v>
      </c>
      <c r="F13" s="162">
        <f>+Totaaloverzicht!N41</f>
        <v>80470.25</v>
      </c>
      <c r="G13" s="160" t="s">
        <v>192</v>
      </c>
    </row>
    <row r="14" spans="1:7" s="76" customFormat="1" ht="45" customHeight="1">
      <c r="A14" s="160" t="s">
        <v>29</v>
      </c>
      <c r="B14" s="159">
        <f>+'2013'!B14*102.5%</f>
        <v>0</v>
      </c>
      <c r="C14" s="160" t="s">
        <v>94</v>
      </c>
      <c r="D14" s="154"/>
      <c r="E14" s="160" t="s">
        <v>148</v>
      </c>
      <c r="F14" s="162">
        <f>+Totaaloverzicht!N40</f>
        <v>85967.89038440725</v>
      </c>
      <c r="G14" s="160" t="s">
        <v>173</v>
      </c>
    </row>
    <row r="15" spans="1:7" ht="25.5" customHeight="1">
      <c r="A15" s="160" t="s">
        <v>30</v>
      </c>
      <c r="B15" s="159">
        <f>+'2013'!B15*102.5%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+'2013'!B16*102.5%</f>
        <v>1218.4028975099175</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+'2013'!B17*102.5%</f>
        <v>1827.6043462648759</v>
      </c>
      <c r="C17" s="160" t="str">
        <f>'2005'!D21</f>
        <v>Kosten aanhouden effectendepot door bank.</v>
      </c>
      <c r="D17" s="154"/>
      <c r="E17" s="160" t="s">
        <v>7</v>
      </c>
      <c r="F17" s="162">
        <f>+Totaaloverzicht!G44</f>
        <v>0</v>
      </c>
      <c r="G17" s="154"/>
    </row>
    <row r="18" spans="1:7" ht="29.25" customHeight="1">
      <c r="A18" s="160" t="str">
        <f>'2005'!A23</f>
        <v>g. koersverschil</v>
      </c>
      <c r="B18" s="159">
        <f>+'2013'!B18*102.5%</f>
        <v>0</v>
      </c>
      <c r="C18" s="160" t="str">
        <f>'2005'!D23</f>
        <v>Koersontwikkeling, doet zich in de jaarrekening voor.</v>
      </c>
      <c r="D18" s="154"/>
      <c r="E18" s="154"/>
      <c r="F18" s="157"/>
      <c r="G18" s="157"/>
    </row>
    <row r="19" spans="1:7" ht="42.75" customHeight="1">
      <c r="A19" s="160" t="str">
        <f>'2005'!A24</f>
        <v>h. afschrijving agio/disagio</v>
      </c>
      <c r="B19" s="159">
        <f>+'agio berekening'!Q14</f>
        <v>79.9</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3125.907243774793</v>
      </c>
      <c r="C21" s="160"/>
      <c r="D21" s="154"/>
      <c r="E21" s="154"/>
      <c r="F21" s="157">
        <f>SUM(F13:F20)</f>
        <v>166438.14038440725</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+Totaaloverzicht!N24</f>
        <v>142959.62408008557</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142959.62408008557</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166438.14038440725</v>
      </c>
      <c r="C32" s="160"/>
      <c r="D32" s="160"/>
      <c r="E32" s="154" t="s">
        <v>21</v>
      </c>
      <c r="F32" s="173">
        <f>SUM(+F21+F11+F30)</f>
        <v>166438.14038440725</v>
      </c>
      <c r="G32" s="160"/>
    </row>
    <row r="33" spans="1:7" ht="12.75" customHeight="1" thickTop="1">
      <c r="A33" s="160"/>
      <c r="B33" s="159"/>
      <c r="C33" s="160"/>
      <c r="D33" s="160"/>
      <c r="E33" s="160"/>
      <c r="F33" s="162"/>
      <c r="G33" s="160"/>
    </row>
    <row r="34" spans="1:7" ht="3" customHeight="1">
      <c r="A34" s="160"/>
      <c r="B34" s="159"/>
      <c r="C34" s="160"/>
      <c r="D34" s="160"/>
      <c r="E34" s="160"/>
      <c r="F34" s="162"/>
      <c r="G34" s="160"/>
    </row>
    <row r="35" spans="1:7" ht="1.5" customHeight="1">
      <c r="A35" s="160"/>
      <c r="B35" s="159"/>
      <c r="C35" s="160"/>
      <c r="D35" s="160"/>
      <c r="E35" s="160"/>
      <c r="F35" s="162"/>
      <c r="G35" s="160"/>
    </row>
    <row r="36" spans="1:7" s="76" customFormat="1" ht="12.7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+Totaaloverzicht!M60</f>
        <v>2859192.48643719</v>
      </c>
      <c r="E40" s="154"/>
      <c r="F40" s="155"/>
      <c r="G40" s="154"/>
    </row>
    <row r="41" spans="1:7" s="76" customFormat="1" ht="12.75" customHeight="1">
      <c r="A41" s="154"/>
      <c r="B41" s="153"/>
      <c r="C41" s="154" t="s">
        <v>166</v>
      </c>
      <c r="D41" s="165">
        <f>+B24</f>
        <v>142959.62408008557</v>
      </c>
      <c r="E41" s="154"/>
      <c r="F41" s="155"/>
      <c r="G41" s="154"/>
    </row>
    <row r="42" spans="1:7" s="76" customFormat="1" ht="12.75" customHeight="1">
      <c r="A42" s="154"/>
      <c r="B42" s="153"/>
      <c r="C42" s="154" t="s">
        <v>167</v>
      </c>
      <c r="D42" s="156">
        <f>SUM(D40:D41)</f>
        <v>3002152.1105172755</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6.xml><?xml version="1.0" encoding="utf-8"?>
<worksheet xmlns="http://schemas.openxmlformats.org/spreadsheetml/2006/main" xmlns:r="http://schemas.openxmlformats.org/officeDocument/2006/relationships">
  <dimension ref="A1:L52"/>
  <sheetViews>
    <sheetView view="pageBreakPreview" zoomScale="75" zoomScaleNormal="75" zoomScaleSheetLayoutView="75" workbookViewId="0" topLeftCell="A1">
      <selection activeCell="E7" sqref="E7"/>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+'2014'!A1+1</f>
        <v>2015</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+'2014'!B4*102.5%</f>
        <v>811.7853927490229</v>
      </c>
      <c r="C4" s="160" t="s">
        <v>210</v>
      </c>
      <c r="D4" s="154"/>
      <c r="E4" s="158" t="s">
        <v>154</v>
      </c>
      <c r="F4" s="161" t="s">
        <v>41</v>
      </c>
      <c r="G4" s="177" t="s">
        <v>171</v>
      </c>
    </row>
    <row r="5" spans="1:7" ht="58.5" customHeight="1">
      <c r="A5" s="158" t="s">
        <v>155</v>
      </c>
      <c r="B5" s="159">
        <f>+'2014'!B5*102.5%</f>
        <v>0</v>
      </c>
      <c r="C5" s="160" t="s">
        <v>52</v>
      </c>
      <c r="D5" s="154"/>
      <c r="E5" s="158" t="s">
        <v>156</v>
      </c>
      <c r="F5" s="168" t="s">
        <v>41</v>
      </c>
      <c r="G5" s="160" t="s">
        <v>50</v>
      </c>
    </row>
    <row r="6" spans="1:7" ht="82.5" customHeight="1">
      <c r="A6" s="158" t="s">
        <v>157</v>
      </c>
      <c r="B6" s="159">
        <f>+'2014'!B6*102.5%</f>
        <v>3015.2028873535137</v>
      </c>
      <c r="C6" s="160" t="s">
        <v>211</v>
      </c>
      <c r="D6" s="154"/>
      <c r="E6" s="154"/>
      <c r="F6" s="163"/>
      <c r="G6" s="154"/>
    </row>
    <row r="7" spans="1:7" ht="81.75" customHeight="1">
      <c r="A7" s="158" t="s">
        <v>158</v>
      </c>
      <c r="B7" s="159">
        <v>4819</v>
      </c>
      <c r="C7" s="160" t="s">
        <v>174</v>
      </c>
      <c r="D7" s="154"/>
      <c r="E7" s="154"/>
      <c r="F7" s="164"/>
      <c r="G7" s="154"/>
    </row>
    <row r="8" spans="1:12" ht="48" customHeight="1">
      <c r="A8" s="158" t="s">
        <v>180</v>
      </c>
      <c r="B8" s="159">
        <f>+'2014'!B8</f>
        <v>6708.624999999999</v>
      </c>
      <c r="C8" s="160" t="str">
        <f>'2005'!D22</f>
        <v>Betreft de werkzaamheden van de treasurer excl. backoffice. Gerekend met 10 dagen op jaarbasis.</v>
      </c>
      <c r="D8" s="154"/>
      <c r="E8" s="154"/>
      <c r="F8" s="157"/>
      <c r="G8" s="154"/>
      <c r="L8" s="179"/>
    </row>
    <row r="9" spans="1:7" ht="52.5" customHeight="1">
      <c r="A9" s="158" t="s">
        <v>3</v>
      </c>
      <c r="B9" s="159">
        <f>+'2014'!B9*102.5%</f>
        <v>5218.620381958006</v>
      </c>
      <c r="C9" s="160" t="s">
        <v>46</v>
      </c>
      <c r="D9" s="154"/>
      <c r="E9" s="154"/>
      <c r="F9" s="157"/>
      <c r="G9" s="154"/>
    </row>
    <row r="10" spans="1:7" ht="12.75" customHeight="1">
      <c r="A10" s="154"/>
      <c r="B10" s="165"/>
      <c r="C10" s="154"/>
      <c r="D10" s="154"/>
      <c r="E10" s="154"/>
      <c r="F10" s="166"/>
      <c r="G10" s="154"/>
    </row>
    <row r="11" spans="1:7" ht="12.75" customHeight="1">
      <c r="A11" s="154"/>
      <c r="B11" s="156">
        <f>SUM(B4:B10)</f>
        <v>20573.233662060542</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+'2014'!B13*102.5%</f>
        <v>0</v>
      </c>
      <c r="C13" s="160" t="str">
        <f>'2004'!D16</f>
        <v>Niet van toepassing. Er zijn middelen beschikbaar. Een deel daarvan zal op de rekening-courant blijven staan.</v>
      </c>
      <c r="D13" s="154"/>
      <c r="E13" s="160" t="s">
        <v>4</v>
      </c>
      <c r="F13" s="162">
        <f>+Totaaloverzicht!O41</f>
        <v>80470.25</v>
      </c>
      <c r="G13" s="160" t="s">
        <v>193</v>
      </c>
    </row>
    <row r="14" spans="1:7" ht="45" customHeight="1">
      <c r="A14" s="160" t="s">
        <v>29</v>
      </c>
      <c r="B14" s="159">
        <f>+'2014'!B14*102.5%</f>
        <v>0</v>
      </c>
      <c r="C14" s="160" t="s">
        <v>94</v>
      </c>
      <c r="D14" s="154"/>
      <c r="E14" s="160" t="s">
        <v>148</v>
      </c>
      <c r="F14" s="162">
        <f>+Totaaloverzicht!O40</f>
        <v>93332.74637101954</v>
      </c>
      <c r="G14" s="160" t="s">
        <v>173</v>
      </c>
    </row>
    <row r="15" spans="1:7" ht="25.5" customHeight="1">
      <c r="A15" s="160" t="s">
        <v>30</v>
      </c>
      <c r="B15" s="159">
        <f>+'2014'!B15*102.5%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+'2014'!B16*102.5%</f>
        <v>1248.8629699476653</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+'2014'!B17*102.5%</f>
        <v>1873.2944549214976</v>
      </c>
      <c r="C17" s="160" t="str">
        <f>'2005'!D21</f>
        <v>Kosten aanhouden effectendepot door bank.</v>
      </c>
      <c r="D17" s="154"/>
      <c r="E17" s="160" t="s">
        <v>7</v>
      </c>
      <c r="F17" s="162">
        <f>+Totaaloverzicht!G44</f>
        <v>0</v>
      </c>
      <c r="G17" s="154"/>
    </row>
    <row r="18" spans="1:7" ht="29.25" customHeight="1">
      <c r="A18" s="160" t="str">
        <f>'2005'!A23</f>
        <v>g. koersverschil</v>
      </c>
      <c r="B18" s="159">
        <f>+'2014'!B18*102.5%</f>
        <v>0</v>
      </c>
      <c r="C18" s="160" t="str">
        <f>'2005'!D23</f>
        <v>Koersontwikkeling, doet zich in de jaarrekening voor.</v>
      </c>
      <c r="D18" s="154"/>
      <c r="E18" s="154"/>
      <c r="F18" s="157"/>
      <c r="G18" s="157"/>
    </row>
    <row r="19" spans="1:7" ht="42.75" customHeight="1">
      <c r="A19" s="160" t="str">
        <f>'2005'!A24</f>
        <v>h. afschrijving agio/disagio</v>
      </c>
      <c r="B19" s="168" t="s">
        <v>41</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3122.157424869163</v>
      </c>
      <c r="C21" s="160"/>
      <c r="D21" s="154"/>
      <c r="E21" s="154"/>
      <c r="F21" s="157">
        <f>SUM(F13:F20)</f>
        <v>173802.99637101954</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+Totaaloverzicht!O24</f>
        <v>150107.60528408983</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t="s">
        <v>41</v>
      </c>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150107.60528408983</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173802.99637101954</v>
      </c>
      <c r="C32" s="160"/>
      <c r="D32" s="160"/>
      <c r="E32" s="154" t="s">
        <v>21</v>
      </c>
      <c r="F32" s="173">
        <f>SUM(+F21+F11+F30)</f>
        <v>173802.99637101954</v>
      </c>
      <c r="G32" s="160"/>
    </row>
    <row r="33" spans="1:7" ht="12.75" customHeight="1" thickTop="1">
      <c r="A33" s="160"/>
      <c r="B33" s="159"/>
      <c r="C33" s="160"/>
      <c r="D33" s="160"/>
      <c r="E33" s="160"/>
      <c r="F33" s="162"/>
      <c r="G33" s="160"/>
    </row>
    <row r="34" spans="1:7" ht="3" customHeight="1">
      <c r="A34" s="160"/>
      <c r="B34" s="159"/>
      <c r="C34" s="160"/>
      <c r="D34" s="160"/>
      <c r="E34" s="160"/>
      <c r="F34" s="162"/>
      <c r="G34" s="160"/>
    </row>
    <row r="35" spans="1:7" ht="0.75"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+Totaaloverzicht!N60</f>
        <v>3002152.1105172755</v>
      </c>
      <c r="E40" s="154"/>
      <c r="F40" s="155"/>
      <c r="G40" s="154"/>
    </row>
    <row r="41" spans="1:7" ht="12.75" customHeight="1">
      <c r="A41" s="154"/>
      <c r="B41" s="153"/>
      <c r="C41" s="154" t="s">
        <v>166</v>
      </c>
      <c r="D41" s="165">
        <f>+B24</f>
        <v>150107.60528408983</v>
      </c>
      <c r="E41" s="154"/>
      <c r="F41" s="155"/>
      <c r="G41" s="154"/>
    </row>
    <row r="42" spans="1:7" ht="12.75" customHeight="1">
      <c r="A42" s="154"/>
      <c r="B42" s="153"/>
      <c r="C42" s="154" t="s">
        <v>167</v>
      </c>
      <c r="D42" s="156">
        <f>SUM(D40:D41)</f>
        <v>3152259.715801365</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ht="12.75" customHeight="1">
      <c r="A48" s="160"/>
      <c r="B48" s="159"/>
      <c r="C48" s="77"/>
      <c r="D48" s="160"/>
      <c r="E48" s="160"/>
      <c r="F48" s="162"/>
      <c r="G48" s="160"/>
    </row>
    <row r="49" spans="1:6" ht="27" customHeight="1">
      <c r="A49" s="77"/>
      <c r="B49" s="80"/>
      <c r="D49" s="77"/>
      <c r="E49" s="77"/>
      <c r="F49" s="78"/>
    </row>
    <row r="50" spans="1:6" ht="17.25" customHeight="1">
      <c r="A50" s="77"/>
      <c r="B50" s="80"/>
      <c r="C50" s="77"/>
      <c r="D50" s="77"/>
      <c r="E50" s="77"/>
      <c r="F50" s="78"/>
    </row>
    <row r="51" spans="1:6" ht="20.25" customHeight="1">
      <c r="A51" s="77"/>
      <c r="B51" s="80"/>
      <c r="C51" s="77"/>
      <c r="D51" s="77"/>
      <c r="E51" s="77"/>
      <c r="F51" s="78"/>
    </row>
    <row r="52" spans="2:6" ht="12.75">
      <c r="B52" s="84"/>
      <c r="D52" s="85"/>
      <c r="F52" s="86"/>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7.xml><?xml version="1.0" encoding="utf-8"?>
<worksheet xmlns="http://schemas.openxmlformats.org/spreadsheetml/2006/main" xmlns:r="http://schemas.openxmlformats.org/officeDocument/2006/relationships">
  <dimension ref="A1:L48"/>
  <sheetViews>
    <sheetView view="pageBreakPreview" zoomScale="60" zoomScaleNormal="75" workbookViewId="0" topLeftCell="A1">
      <selection activeCell="K11" sqref="K11"/>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+'2015'!A1+1</f>
        <v>2016</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8.25" customHeight="1">
      <c r="A4" s="158" t="s">
        <v>2</v>
      </c>
      <c r="B4" s="159">
        <f>+'2015'!B4*102.5%</f>
        <v>832.0800275677484</v>
      </c>
      <c r="C4" s="160" t="s">
        <v>210</v>
      </c>
      <c r="D4" s="154"/>
      <c r="E4" s="158" t="s">
        <v>154</v>
      </c>
      <c r="F4" s="161" t="s">
        <v>41</v>
      </c>
      <c r="G4" s="177" t="s">
        <v>171</v>
      </c>
    </row>
    <row r="5" spans="1:7" ht="69.75" customHeight="1">
      <c r="A5" s="158" t="s">
        <v>155</v>
      </c>
      <c r="B5" s="159">
        <f>+'2015'!B5*102.5%</f>
        <v>0</v>
      </c>
      <c r="C5" s="160" t="s">
        <v>52</v>
      </c>
      <c r="D5" s="154"/>
      <c r="E5" s="158" t="s">
        <v>156</v>
      </c>
      <c r="F5" s="168" t="s">
        <v>41</v>
      </c>
      <c r="G5" s="160" t="s">
        <v>50</v>
      </c>
    </row>
    <row r="6" spans="1:7" ht="92.25" customHeight="1">
      <c r="A6" s="158" t="s">
        <v>157</v>
      </c>
      <c r="B6" s="159">
        <f>+'2015'!B6*102.5%</f>
        <v>3090.582959537351</v>
      </c>
      <c r="C6" s="160" t="s">
        <v>211</v>
      </c>
      <c r="D6" s="154"/>
      <c r="E6" s="154"/>
      <c r="F6" s="163"/>
      <c r="G6" s="154"/>
    </row>
    <row r="7" spans="1:7" ht="81.75" customHeight="1">
      <c r="A7" s="158" t="s">
        <v>158</v>
      </c>
      <c r="B7" s="159">
        <v>4819</v>
      </c>
      <c r="C7" s="160" t="s">
        <v>174</v>
      </c>
      <c r="D7" s="154"/>
      <c r="E7" s="154"/>
      <c r="F7" s="164"/>
      <c r="G7" s="154"/>
    </row>
    <row r="8" spans="1:12" ht="48" customHeight="1">
      <c r="A8" s="158" t="s">
        <v>180</v>
      </c>
      <c r="B8" s="159">
        <f>+'2015'!B8*102.5%</f>
        <v>6876.340624999999</v>
      </c>
      <c r="C8" s="160" t="str">
        <f>'2005'!D22</f>
        <v>Betreft de werkzaamheden van de treasurer excl. backoffice. Gerekend met 10 dagen op jaarbasis.</v>
      </c>
      <c r="D8" s="154"/>
      <c r="E8" s="154"/>
      <c r="F8" s="157"/>
      <c r="G8" s="154"/>
      <c r="L8" s="179"/>
    </row>
    <row r="9" spans="1:7" ht="52.5" customHeight="1">
      <c r="A9" s="158" t="s">
        <v>3</v>
      </c>
      <c r="B9" s="159">
        <f>+'2015'!B9*102.5%</f>
        <v>5349.085891506956</v>
      </c>
      <c r="C9" s="160" t="s">
        <v>46</v>
      </c>
      <c r="D9" s="154"/>
      <c r="E9" s="154"/>
      <c r="F9" s="157"/>
      <c r="G9" s="154"/>
    </row>
    <row r="10" spans="1:7" ht="12.75" customHeight="1">
      <c r="A10" s="154"/>
      <c r="B10" s="165"/>
      <c r="C10" s="154"/>
      <c r="D10" s="154"/>
      <c r="E10" s="154"/>
      <c r="F10" s="166"/>
      <c r="G10" s="154"/>
    </row>
    <row r="11" spans="1:7" ht="12.75" customHeight="1">
      <c r="A11" s="154"/>
      <c r="B11" s="156">
        <f>SUM(B4:B10)</f>
        <v>20967.089503612053</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+'2015'!B13*102.5%</f>
        <v>0</v>
      </c>
      <c r="C13" s="160" t="str">
        <f>'2004'!D16</f>
        <v>Niet van toepassing. Er zijn middelen beschikbaar. Een deel daarvan zal op de rekening-courant blijven staan.</v>
      </c>
      <c r="D13" s="154"/>
      <c r="E13" s="160" t="s">
        <v>4</v>
      </c>
      <c r="F13" s="162">
        <f>+Totaaloverzicht!P41</f>
        <v>80470.25</v>
      </c>
      <c r="G13" s="160" t="s">
        <v>194</v>
      </c>
    </row>
    <row r="14" spans="1:7" ht="45" customHeight="1">
      <c r="A14" s="160" t="s">
        <v>29</v>
      </c>
      <c r="B14" s="159">
        <f>+'2015'!B14*102.5%</f>
        <v>0</v>
      </c>
      <c r="C14" s="160" t="s">
        <v>94</v>
      </c>
      <c r="D14" s="154"/>
      <c r="E14" s="160" t="s">
        <v>148</v>
      </c>
      <c r="F14" s="162">
        <f>+Totaaloverzicht!P40</f>
        <v>101310.03641239728</v>
      </c>
      <c r="G14" s="160" t="s">
        <v>173</v>
      </c>
    </row>
    <row r="15" spans="1:7" ht="25.5" customHeight="1">
      <c r="A15" s="160" t="s">
        <v>30</v>
      </c>
      <c r="B15" s="159">
        <f>+'2015'!B15*102.5%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+'2015'!B16*102.5%</f>
        <v>1280.0845441963568</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+'2015'!B17*102.5%</f>
        <v>1920.1268162945348</v>
      </c>
      <c r="C17" s="160" t="str">
        <f>'2005'!D21</f>
        <v>Kosten aanhouden effectendepot door bank.</v>
      </c>
      <c r="D17" s="154"/>
      <c r="E17" s="160" t="s">
        <v>7</v>
      </c>
      <c r="F17" s="162">
        <f>+Totaaloverzicht!G44</f>
        <v>0</v>
      </c>
      <c r="G17" s="154"/>
    </row>
    <row r="18" spans="1:7" ht="29.25" customHeight="1">
      <c r="A18" s="160" t="str">
        <f>'2005'!A23</f>
        <v>g. koersverschil</v>
      </c>
      <c r="B18" s="159">
        <f>+'2015'!B18*102.5%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3200.211360490892</v>
      </c>
      <c r="C21" s="160"/>
      <c r="D21" s="154"/>
      <c r="E21" s="154"/>
      <c r="F21" s="157">
        <f>SUM(F13:F20)</f>
        <v>181780.28641239728</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+Totaaloverzicht!P24</f>
        <v>157612.98554829432</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157612.98554829432</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181780.28641239725</v>
      </c>
      <c r="C32" s="160"/>
      <c r="D32" s="160"/>
      <c r="E32" s="154" t="s">
        <v>21</v>
      </c>
      <c r="F32" s="173">
        <f>SUM(+F21+F11+F30)</f>
        <v>181780.28641239728</v>
      </c>
      <c r="G32" s="160"/>
    </row>
    <row r="33" spans="1:7" ht="12.75" customHeight="1" thickTop="1">
      <c r="A33" s="160"/>
      <c r="B33" s="159"/>
      <c r="C33" s="160"/>
      <c r="D33" s="160"/>
      <c r="E33" s="160"/>
      <c r="F33" s="162"/>
      <c r="G33" s="160"/>
    </row>
    <row r="34" spans="1:7" ht="3" customHeight="1">
      <c r="A34" s="160"/>
      <c r="B34" s="159"/>
      <c r="C34" s="160"/>
      <c r="D34" s="160"/>
      <c r="E34" s="160"/>
      <c r="F34" s="162"/>
      <c r="G34" s="160"/>
    </row>
    <row r="35" spans="1:7" ht="3"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+Totaaloverzicht!O60</f>
        <v>3152259.715801365</v>
      </c>
      <c r="E40" s="154"/>
      <c r="F40" s="155"/>
      <c r="G40" s="154"/>
    </row>
    <row r="41" spans="1:7" ht="12.75" customHeight="1">
      <c r="A41" s="154"/>
      <c r="B41" s="153"/>
      <c r="C41" s="154" t="s">
        <v>166</v>
      </c>
      <c r="D41" s="165">
        <f>+B24</f>
        <v>157612.98554829432</v>
      </c>
      <c r="E41" s="154"/>
      <c r="F41" s="155"/>
      <c r="G41" s="154"/>
    </row>
    <row r="42" spans="1:7" ht="12.75" customHeight="1">
      <c r="A42" s="154"/>
      <c r="B42" s="153"/>
      <c r="C42" s="154" t="s">
        <v>167</v>
      </c>
      <c r="D42" s="156">
        <f>SUM(D40:D41)</f>
        <v>3309872.7013496594</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ht="12.75" customHeight="1">
      <c r="A48" s="160"/>
      <c r="B48" s="159"/>
      <c r="D48" s="160"/>
      <c r="E48" s="160"/>
      <c r="F48" s="162"/>
      <c r="G48" s="160"/>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8.xml><?xml version="1.0" encoding="utf-8"?>
<worksheet xmlns="http://schemas.openxmlformats.org/spreadsheetml/2006/main" xmlns:r="http://schemas.openxmlformats.org/officeDocument/2006/relationships">
  <dimension ref="A1:L48"/>
  <sheetViews>
    <sheetView view="pageBreakPreview" zoomScale="75" zoomScaleNormal="75" zoomScaleSheetLayoutView="75" workbookViewId="0" topLeftCell="A1">
      <selection activeCell="E7" sqref="E7"/>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+'2016'!A1+1</f>
        <v>2017</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+'2016'!B4*102.5%</f>
        <v>852.882028256942</v>
      </c>
      <c r="C4" s="160" t="s">
        <v>210</v>
      </c>
      <c r="D4" s="154"/>
      <c r="E4" s="158" t="s">
        <v>154</v>
      </c>
      <c r="F4" s="161" t="s">
        <v>41</v>
      </c>
      <c r="G4" s="177" t="s">
        <v>171</v>
      </c>
    </row>
    <row r="5" spans="1:7" ht="64.5" customHeight="1">
      <c r="A5" s="158" t="s">
        <v>155</v>
      </c>
      <c r="B5" s="159">
        <f>+'2016'!B5*102.5%</f>
        <v>0</v>
      </c>
      <c r="C5" s="160" t="s">
        <v>52</v>
      </c>
      <c r="D5" s="154"/>
      <c r="E5" s="158" t="s">
        <v>156</v>
      </c>
      <c r="F5" s="168" t="s">
        <v>41</v>
      </c>
      <c r="G5" s="160" t="s">
        <v>50</v>
      </c>
    </row>
    <row r="6" spans="1:7" ht="84.75" customHeight="1">
      <c r="A6" s="158" t="s">
        <v>157</v>
      </c>
      <c r="B6" s="159">
        <f>+'2016'!B6*102.5%</f>
        <v>3167.8475335257845</v>
      </c>
      <c r="C6" s="160" t="s">
        <v>211</v>
      </c>
      <c r="D6" s="154"/>
      <c r="E6" s="154"/>
      <c r="F6" s="163"/>
      <c r="G6" s="154"/>
    </row>
    <row r="7" spans="1:7" ht="81.75" customHeight="1">
      <c r="A7" s="158" t="s">
        <v>158</v>
      </c>
      <c r="B7" s="159">
        <v>4819</v>
      </c>
      <c r="C7" s="160" t="s">
        <v>174</v>
      </c>
      <c r="D7" s="154"/>
      <c r="E7" s="154"/>
      <c r="F7" s="164"/>
      <c r="G7" s="154"/>
    </row>
    <row r="8" spans="1:12" ht="48" customHeight="1">
      <c r="A8" s="158" t="s">
        <v>180</v>
      </c>
      <c r="B8" s="159">
        <f>+'2016'!B8</f>
        <v>6876.340624999999</v>
      </c>
      <c r="C8" s="160" t="str">
        <f>'2005'!D22</f>
        <v>Betreft de werkzaamheden van de treasurer excl. backoffice. Gerekend met 10 dagen op jaarbasis.</v>
      </c>
      <c r="D8" s="154"/>
      <c r="E8" s="154"/>
      <c r="F8" s="157"/>
      <c r="G8" s="154"/>
      <c r="L8" s="179"/>
    </row>
    <row r="9" spans="1:7" ht="52.5" customHeight="1">
      <c r="A9" s="158" t="s">
        <v>3</v>
      </c>
      <c r="B9" s="159">
        <f>+'2016'!B9*102.5%</f>
        <v>5482.813038794629</v>
      </c>
      <c r="C9" s="160" t="s">
        <v>46</v>
      </c>
      <c r="D9" s="154"/>
      <c r="E9" s="154"/>
      <c r="F9" s="157"/>
      <c r="G9" s="154"/>
    </row>
    <row r="10" spans="1:7" ht="12.75" customHeight="1">
      <c r="A10" s="154"/>
      <c r="B10" s="165"/>
      <c r="C10" s="154"/>
      <c r="D10" s="154"/>
      <c r="E10" s="154"/>
      <c r="F10" s="166"/>
      <c r="G10" s="154"/>
    </row>
    <row r="11" spans="1:7" ht="12.75" customHeight="1">
      <c r="A11" s="154"/>
      <c r="B11" s="156">
        <f>SUM(B4:B10)</f>
        <v>21198.883225577352</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+'2016'!B13*102.5%</f>
        <v>0</v>
      </c>
      <c r="C13" s="160" t="str">
        <f>'2004'!D16</f>
        <v>Niet van toepassing. Er zijn middelen beschikbaar. Een deel daarvan zal op de rekening-courant blijven staan.</v>
      </c>
      <c r="D13" s="154"/>
      <c r="E13" s="160" t="s">
        <v>4</v>
      </c>
      <c r="F13" s="162">
        <f>+Totaaloverzicht!Q41</f>
        <v>80470.25</v>
      </c>
      <c r="G13" s="160" t="s">
        <v>195</v>
      </c>
    </row>
    <row r="14" spans="1:7" ht="45" customHeight="1">
      <c r="A14" s="160" t="s">
        <v>29</v>
      </c>
      <c r="B14" s="159">
        <f>+'2016'!B14*102.5%</f>
        <v>0</v>
      </c>
      <c r="C14" s="160" t="s">
        <v>94</v>
      </c>
      <c r="D14" s="154"/>
      <c r="E14" s="160" t="s">
        <v>148</v>
      </c>
      <c r="F14" s="162">
        <f>+Totaaloverzicht!Q40</f>
        <v>109502.48469578955</v>
      </c>
      <c r="G14" s="160" t="s">
        <v>173</v>
      </c>
    </row>
    <row r="15" spans="1:7" ht="25.5" customHeight="1">
      <c r="A15" s="160" t="s">
        <v>30</v>
      </c>
      <c r="B15" s="159">
        <f>+'2016'!B15*102.5%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+'2016'!B16*102.5%</f>
        <v>1312.0866578012656</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+'2016'!B17*102.5%</f>
        <v>1968.129986701898</v>
      </c>
      <c r="C17" s="160" t="str">
        <f>'2005'!D21</f>
        <v>Kosten aanhouden effectendepot door bank.</v>
      </c>
      <c r="D17" s="154"/>
      <c r="E17" s="160" t="s">
        <v>7</v>
      </c>
      <c r="F17" s="162">
        <f>+Totaaloverzicht!G44</f>
        <v>0</v>
      </c>
      <c r="G17" s="154"/>
    </row>
    <row r="18" spans="1:7" ht="29.25" customHeight="1">
      <c r="A18" s="160" t="str">
        <f>'2005'!A23</f>
        <v>g. koersverschil</v>
      </c>
      <c r="B18" s="159">
        <f>+'2016'!B18*102.5%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3280.2166445031635</v>
      </c>
      <c r="C21" s="160"/>
      <c r="D21" s="154"/>
      <c r="E21" s="154"/>
      <c r="F21" s="157">
        <f>SUM(F13:F20)</f>
        <v>189972.73469578955</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+Totaaloverzicht!Q24</f>
        <v>165493.63482570904</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165493.63482570904</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189972.73469578958</v>
      </c>
      <c r="C32" s="160"/>
      <c r="D32" s="160"/>
      <c r="E32" s="154" t="s">
        <v>21</v>
      </c>
      <c r="F32" s="173">
        <f>SUM(+F21+F11+F30)</f>
        <v>189972.73469578955</v>
      </c>
      <c r="G32" s="160"/>
    </row>
    <row r="33" spans="1:7" ht="12.75" customHeight="1" thickTop="1">
      <c r="A33" s="160"/>
      <c r="B33" s="159"/>
      <c r="C33" s="160"/>
      <c r="D33" s="160"/>
      <c r="E33" s="160"/>
      <c r="F33" s="162"/>
      <c r="G33" s="160"/>
    </row>
    <row r="34" spans="1:7" ht="3.75" customHeight="1">
      <c r="A34" s="160"/>
      <c r="B34" s="159"/>
      <c r="C34" s="160"/>
      <c r="D34" s="160"/>
      <c r="E34" s="160"/>
      <c r="F34" s="162"/>
      <c r="G34" s="160"/>
    </row>
    <row r="35" spans="1:7" ht="3"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+Totaaloverzicht!P60</f>
        <v>3309872.7013496594</v>
      </c>
      <c r="E40" s="154"/>
      <c r="F40" s="155"/>
      <c r="G40" s="154"/>
    </row>
    <row r="41" spans="1:7" ht="12.75" customHeight="1">
      <c r="A41" s="154"/>
      <c r="B41" s="153"/>
      <c r="C41" s="154" t="s">
        <v>166</v>
      </c>
      <c r="D41" s="165">
        <f>+B24</f>
        <v>165493.63482570904</v>
      </c>
      <c r="E41" s="154"/>
      <c r="F41" s="155"/>
      <c r="G41" s="154"/>
    </row>
    <row r="42" spans="1:7" ht="12.75" customHeight="1">
      <c r="A42" s="154"/>
      <c r="B42" s="153"/>
      <c r="C42" s="154" t="s">
        <v>167</v>
      </c>
      <c r="D42" s="156">
        <f>SUM(D40:D41)</f>
        <v>3475366.336175368</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ht="12.75" customHeight="1">
      <c r="A48" s="160"/>
      <c r="B48" s="159"/>
      <c r="D48" s="160"/>
      <c r="E48" s="160"/>
      <c r="F48" s="162"/>
      <c r="G48" s="160"/>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19.xml><?xml version="1.0" encoding="utf-8"?>
<worksheet xmlns="http://schemas.openxmlformats.org/spreadsheetml/2006/main" xmlns:r="http://schemas.openxmlformats.org/officeDocument/2006/relationships">
  <dimension ref="A1:L48"/>
  <sheetViews>
    <sheetView view="pageBreakPreview" zoomScale="75" zoomScaleNormal="75" zoomScaleSheetLayoutView="75" workbookViewId="0" topLeftCell="A1">
      <selection activeCell="C6" sqref="C6"/>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+'2017'!A1+1</f>
        <v>2018</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+'2017'!B4*102.5%</f>
        <v>874.2040789633655</v>
      </c>
      <c r="C4" s="160" t="s">
        <v>210</v>
      </c>
      <c r="D4" s="154"/>
      <c r="E4" s="158" t="s">
        <v>154</v>
      </c>
      <c r="F4" s="161" t="s">
        <v>41</v>
      </c>
      <c r="G4" s="177" t="s">
        <v>171</v>
      </c>
    </row>
    <row r="5" spans="1:7" ht="58.5" customHeight="1">
      <c r="A5" s="158" t="s">
        <v>155</v>
      </c>
      <c r="B5" s="159">
        <f>+'2017'!B5*102.5%</f>
        <v>0</v>
      </c>
      <c r="C5" s="160" t="s">
        <v>52</v>
      </c>
      <c r="D5" s="154"/>
      <c r="E5" s="158" t="s">
        <v>156</v>
      </c>
      <c r="F5" s="168" t="s">
        <v>41</v>
      </c>
      <c r="G5" s="160" t="s">
        <v>50</v>
      </c>
    </row>
    <row r="6" spans="1:7" ht="86.25" customHeight="1">
      <c r="A6" s="158" t="s">
        <v>157</v>
      </c>
      <c r="B6" s="159">
        <f>+'2017'!B6*102.5%</f>
        <v>3247.0437218639286</v>
      </c>
      <c r="C6" s="160" t="s">
        <v>211</v>
      </c>
      <c r="D6" s="154"/>
      <c r="E6" s="154"/>
      <c r="F6" s="163"/>
      <c r="G6" s="154"/>
    </row>
    <row r="7" spans="1:7" ht="81.75" customHeight="1">
      <c r="A7" s="158" t="s">
        <v>158</v>
      </c>
      <c r="B7" s="159">
        <v>4819</v>
      </c>
      <c r="C7" s="160" t="s">
        <v>174</v>
      </c>
      <c r="D7" s="154"/>
      <c r="E7" s="154"/>
      <c r="F7" s="164"/>
      <c r="G7" s="154"/>
    </row>
    <row r="8" spans="1:12" ht="48" customHeight="1">
      <c r="A8" s="158" t="s">
        <v>180</v>
      </c>
      <c r="B8" s="159">
        <f>+'2017'!B8</f>
        <v>6876.340624999999</v>
      </c>
      <c r="C8" s="160" t="str">
        <f>'2005'!D22</f>
        <v>Betreft de werkzaamheden van de treasurer excl. backoffice. Gerekend met 10 dagen op jaarbasis.</v>
      </c>
      <c r="D8" s="154"/>
      <c r="E8" s="154"/>
      <c r="F8" s="157"/>
      <c r="G8" s="154"/>
      <c r="L8" s="179"/>
    </row>
    <row r="9" spans="1:7" ht="52.5" customHeight="1">
      <c r="A9" s="158" t="s">
        <v>3</v>
      </c>
      <c r="B9" s="159">
        <f>+'2017'!B9*102.5%</f>
        <v>5619.883364764494</v>
      </c>
      <c r="C9" s="160" t="s">
        <v>46</v>
      </c>
      <c r="D9" s="154"/>
      <c r="E9" s="154"/>
      <c r="F9" s="157"/>
      <c r="G9" s="154"/>
    </row>
    <row r="10" spans="1:7" ht="12.75" customHeight="1">
      <c r="A10" s="154"/>
      <c r="B10" s="165"/>
      <c r="C10" s="154"/>
      <c r="D10" s="154"/>
      <c r="E10" s="154"/>
      <c r="F10" s="166"/>
      <c r="G10" s="154"/>
    </row>
    <row r="11" spans="1:7" ht="12.75" customHeight="1">
      <c r="A11" s="154"/>
      <c r="B11" s="156">
        <f>SUM(B4:B10)</f>
        <v>21436.471790591786</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+'2017'!B13*102.5%</f>
        <v>0</v>
      </c>
      <c r="C13" s="160" t="str">
        <f>'2004'!D16</f>
        <v>Niet van toepassing. Er zijn middelen beschikbaar. Een deel daarvan zal op de rekening-courant blijven staan.</v>
      </c>
      <c r="D13" s="154"/>
      <c r="E13" s="160" t="s">
        <v>4</v>
      </c>
      <c r="F13" s="162">
        <f>+Totaaloverzicht!R41</f>
        <v>80470.25</v>
      </c>
      <c r="G13" s="160" t="s">
        <v>196</v>
      </c>
    </row>
    <row r="14" spans="1:7" ht="45" customHeight="1">
      <c r="A14" s="160" t="s">
        <v>29</v>
      </c>
      <c r="B14" s="159">
        <f>+'2017'!B14*102.5%</f>
        <v>0</v>
      </c>
      <c r="C14" s="160" t="s">
        <v>94</v>
      </c>
      <c r="D14" s="154"/>
      <c r="E14" s="160" t="s">
        <v>148</v>
      </c>
      <c r="F14" s="162">
        <f>+Totaaloverzicht!R40</f>
        <v>118096.76041820203</v>
      </c>
      <c r="G14" s="160" t="s">
        <v>173</v>
      </c>
    </row>
    <row r="15" spans="1:7" ht="25.5" customHeight="1">
      <c r="A15" s="160" t="s">
        <v>30</v>
      </c>
      <c r="B15" s="159">
        <f>+'2017'!B15*102.5%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+'2017'!B16*102.5%</f>
        <v>1344.8888242462972</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+'2017'!B17*102.5%</f>
        <v>2017.333236369445</v>
      </c>
      <c r="C17" s="160" t="str">
        <f>'2005'!D21</f>
        <v>Kosten aanhouden effectendepot door bank.</v>
      </c>
      <c r="D17" s="154"/>
      <c r="E17" s="160" t="s">
        <v>7</v>
      </c>
      <c r="F17" s="162">
        <f>+Totaaloverzicht!G44</f>
        <v>0</v>
      </c>
      <c r="G17" s="154"/>
    </row>
    <row r="18" spans="1:7" ht="29.25" customHeight="1">
      <c r="A18" s="160" t="str">
        <f>'2005'!A23</f>
        <v>g. koersverschil</v>
      </c>
      <c r="B18" s="159">
        <f>+'2017'!B18*102.5%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3362.2220606157425</v>
      </c>
      <c r="C21" s="160"/>
      <c r="D21" s="154"/>
      <c r="E21" s="154"/>
      <c r="F21" s="157">
        <f>SUM(F13:F20)</f>
        <v>198567.01041820203</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+Totaaloverzicht!R24</f>
        <v>173768.3165669945</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173768.3165669945</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198567.01041820203</v>
      </c>
      <c r="C32" s="160"/>
      <c r="D32" s="160"/>
      <c r="E32" s="154" t="s">
        <v>21</v>
      </c>
      <c r="F32" s="173">
        <f>SUM(+F21+F11+F30)</f>
        <v>198567.01041820203</v>
      </c>
      <c r="G32" s="160"/>
    </row>
    <row r="33" spans="1:7" ht="12.75" customHeight="1" thickTop="1">
      <c r="A33" s="160"/>
      <c r="B33" s="159"/>
      <c r="C33" s="160"/>
      <c r="D33" s="160"/>
      <c r="E33" s="160"/>
      <c r="F33" s="162"/>
      <c r="G33" s="160"/>
    </row>
    <row r="34" spans="1:7" ht="1.5" customHeight="1">
      <c r="A34" s="160"/>
      <c r="B34" s="159"/>
      <c r="C34" s="160"/>
      <c r="D34" s="160"/>
      <c r="E34" s="160"/>
      <c r="F34" s="162"/>
      <c r="G34" s="160"/>
    </row>
    <row r="35" spans="1:7" ht="3"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+Totaaloverzicht!Q60</f>
        <v>3475366.336175368</v>
      </c>
      <c r="E40" s="154"/>
      <c r="F40" s="155"/>
      <c r="G40" s="154"/>
    </row>
    <row r="41" spans="1:7" ht="12.75" customHeight="1">
      <c r="A41" s="154"/>
      <c r="B41" s="153"/>
      <c r="C41" s="154" t="s">
        <v>166</v>
      </c>
      <c r="D41" s="165">
        <f>+B24</f>
        <v>173768.3165669945</v>
      </c>
      <c r="E41" s="154"/>
      <c r="F41" s="155"/>
      <c r="G41" s="154"/>
    </row>
    <row r="42" spans="1:7" ht="12.75" customHeight="1">
      <c r="A42" s="154"/>
      <c r="B42" s="153"/>
      <c r="C42" s="154" t="s">
        <v>167</v>
      </c>
      <c r="D42" s="156">
        <f>SUM(D40:D41)</f>
        <v>3649134.6527423626</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+Totaaloverzicht!I62</f>
        <v>957379</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v>
      </c>
      <c r="E47" s="160"/>
      <c r="F47" s="162"/>
      <c r="G47" s="160"/>
    </row>
    <row r="48" spans="1:7" ht="12.75" customHeight="1">
      <c r="A48" s="160"/>
      <c r="B48" s="159"/>
      <c r="D48" s="160"/>
      <c r="E48" s="160"/>
      <c r="F48" s="162"/>
      <c r="G48" s="160"/>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2.xml><?xml version="1.0" encoding="utf-8"?>
<worksheet xmlns="http://schemas.openxmlformats.org/spreadsheetml/2006/main" xmlns:r="http://schemas.openxmlformats.org/officeDocument/2006/relationships">
  <dimension ref="A1:H41"/>
  <sheetViews>
    <sheetView zoomScale="85" zoomScaleNormal="85" workbookViewId="0" topLeftCell="A4">
      <selection activeCell="B39" sqref="B39"/>
    </sheetView>
  </sheetViews>
  <sheetFormatPr defaultColWidth="9.140625" defaultRowHeight="12.75"/>
  <cols>
    <col min="1" max="1" width="33.140625" style="2" customWidth="1"/>
    <col min="2" max="2" width="10.421875" style="7" customWidth="1"/>
    <col min="3" max="3" width="7.57421875" style="7" customWidth="1"/>
    <col min="4" max="4" width="33.00390625" style="2" customWidth="1"/>
    <col min="5" max="5" width="32.57421875" style="2" customWidth="1"/>
    <col min="6" max="7" width="9.8515625" style="9" customWidth="1"/>
    <col min="8" max="8" width="30.8515625" style="2" customWidth="1"/>
  </cols>
  <sheetData>
    <row r="1" spans="1:8" s="1" customFormat="1" ht="12.75">
      <c r="A1" s="15">
        <v>2004</v>
      </c>
      <c r="D1" s="3" t="s">
        <v>49</v>
      </c>
      <c r="E1" s="3"/>
      <c r="F1" s="10"/>
      <c r="G1" s="10"/>
      <c r="H1" s="3"/>
    </row>
    <row r="3" spans="1:8" s="1" customFormat="1" ht="12.75">
      <c r="A3" s="3" t="s">
        <v>0</v>
      </c>
      <c r="B3" s="6"/>
      <c r="C3" s="6"/>
      <c r="D3" s="3"/>
      <c r="E3" s="3" t="s">
        <v>1</v>
      </c>
      <c r="F3" s="10"/>
      <c r="G3" s="10"/>
      <c r="H3" s="3"/>
    </row>
    <row r="4" spans="1:8" s="1" customFormat="1" ht="12.75">
      <c r="A4" s="3" t="s">
        <v>34</v>
      </c>
      <c r="B4" s="6" t="s">
        <v>35</v>
      </c>
      <c r="C4" s="6"/>
      <c r="D4" s="3" t="s">
        <v>36</v>
      </c>
      <c r="E4" s="3" t="s">
        <v>34</v>
      </c>
      <c r="F4" s="11" t="s">
        <v>35</v>
      </c>
      <c r="G4" s="11"/>
      <c r="H4" s="3" t="s">
        <v>36</v>
      </c>
    </row>
    <row r="5" spans="1:8" ht="51">
      <c r="A5" s="4" t="s">
        <v>26</v>
      </c>
      <c r="B5" s="7">
        <f>SUM(F5:F5)</f>
        <v>536940</v>
      </c>
      <c r="E5" s="4" t="s">
        <v>18</v>
      </c>
      <c r="F5" s="16">
        <v>536940</v>
      </c>
      <c r="G5" s="16"/>
      <c r="H5" s="8" t="s">
        <v>65</v>
      </c>
    </row>
    <row r="6" spans="1:5" ht="12.75">
      <c r="A6" s="4"/>
      <c r="E6" s="4"/>
    </row>
    <row r="7" spans="1:8" ht="89.25">
      <c r="A7" s="4" t="s">
        <v>56</v>
      </c>
      <c r="B7" s="7">
        <f>SUM(F16:F23)-SUM(B8:B25)</f>
        <v>102794.87083534872</v>
      </c>
      <c r="D7" s="2" t="s">
        <v>103</v>
      </c>
      <c r="E7" s="4" t="s">
        <v>25</v>
      </c>
      <c r="F7" s="9">
        <v>0</v>
      </c>
      <c r="H7" s="2" t="s">
        <v>50</v>
      </c>
    </row>
    <row r="8" spans="1:5" ht="38.25">
      <c r="A8" s="4" t="s">
        <v>32</v>
      </c>
      <c r="B8" s="7">
        <v>0</v>
      </c>
      <c r="D8" s="2" t="s">
        <v>51</v>
      </c>
      <c r="E8" s="4"/>
    </row>
    <row r="9" spans="1:4" ht="63.75">
      <c r="A9" s="4" t="s">
        <v>2</v>
      </c>
      <c r="B9" s="7">
        <f>3*(295+230)*1.025</f>
        <v>1614.3749999999998</v>
      </c>
      <c r="D9" s="2" t="s">
        <v>92</v>
      </c>
    </row>
    <row r="10" spans="1:4" ht="50.25" customHeight="1">
      <c r="A10" s="4" t="s">
        <v>11</v>
      </c>
      <c r="B10" s="7">
        <v>0</v>
      </c>
      <c r="D10" s="2" t="s">
        <v>52</v>
      </c>
    </row>
    <row r="11" spans="1:4" ht="76.5">
      <c r="A11" s="4" t="s">
        <v>33</v>
      </c>
      <c r="B11" s="7">
        <f>3*3*500*1.025</f>
        <v>4612.5</v>
      </c>
      <c r="D11" s="2" t="s">
        <v>91</v>
      </c>
    </row>
    <row r="12" spans="1:4" ht="89.25">
      <c r="A12" s="4" t="s">
        <v>12</v>
      </c>
      <c r="B12" s="7">
        <f>1.025*'Begroting 2002-2003'!B13</f>
        <v>7174.999999999999</v>
      </c>
      <c r="D12" s="2" t="s">
        <v>44</v>
      </c>
    </row>
    <row r="13" spans="1:4" ht="25.5">
      <c r="A13" s="4" t="s">
        <v>13</v>
      </c>
      <c r="B13" s="7">
        <v>0</v>
      </c>
      <c r="D13" s="2" t="s">
        <v>43</v>
      </c>
    </row>
    <row r="14" spans="1:4" ht="51">
      <c r="A14" s="4" t="s">
        <v>3</v>
      </c>
      <c r="B14" s="7">
        <f>1.025*'Begroting 2002-2003'!B15</f>
        <v>1537.4999999999998</v>
      </c>
      <c r="D14" s="2" t="s">
        <v>46</v>
      </c>
    </row>
    <row r="15" spans="1:5" ht="12.75">
      <c r="A15" s="4" t="s">
        <v>14</v>
      </c>
      <c r="E15" s="4" t="s">
        <v>15</v>
      </c>
    </row>
    <row r="16" spans="1:8" ht="38.25">
      <c r="A16" s="2" t="s">
        <v>8</v>
      </c>
      <c r="B16" s="7">
        <v>0</v>
      </c>
      <c r="D16" s="2" t="s">
        <v>93</v>
      </c>
      <c r="E16" s="2" t="s">
        <v>4</v>
      </c>
      <c r="F16" s="9">
        <f>5.06/100*3/12*B39</f>
        <v>26658.09320883718</v>
      </c>
      <c r="H16" s="2" t="s">
        <v>68</v>
      </c>
    </row>
    <row r="17" spans="1:8" ht="51">
      <c r="A17" s="2" t="s">
        <v>29</v>
      </c>
      <c r="B17" s="7">
        <v>0</v>
      </c>
      <c r="D17" s="2" t="s">
        <v>105</v>
      </c>
      <c r="F17" s="9">
        <f>5.06/100*9/12*(B39+F5)</f>
        <v>100351.15262651154</v>
      </c>
      <c r="H17" s="2" t="s">
        <v>104</v>
      </c>
    </row>
    <row r="19" spans="1:6" ht="25.5">
      <c r="A19" s="2" t="s">
        <v>30</v>
      </c>
      <c r="B19" s="7">
        <v>0</v>
      </c>
      <c r="D19" s="2" t="s">
        <v>106</v>
      </c>
      <c r="E19" s="2" t="s">
        <v>6</v>
      </c>
      <c r="F19" s="9" t="s">
        <v>41</v>
      </c>
    </row>
    <row r="20" spans="1:4" ht="25.5">
      <c r="A20" s="2" t="s">
        <v>95</v>
      </c>
      <c r="B20" s="7">
        <v>3225</v>
      </c>
      <c r="D20" s="2" t="s">
        <v>107</v>
      </c>
    </row>
    <row r="21" spans="1:4" ht="25.5">
      <c r="A21" s="2" t="s">
        <v>96</v>
      </c>
      <c r="B21" s="7">
        <v>925</v>
      </c>
      <c r="D21" s="2" t="s">
        <v>108</v>
      </c>
    </row>
    <row r="22" spans="1:6" ht="38.25">
      <c r="A22" s="2" t="s">
        <v>97</v>
      </c>
      <c r="B22" s="7">
        <f>1.025*'Begroting 2002-2003'!B21</f>
        <v>5125</v>
      </c>
      <c r="D22" s="2" t="s">
        <v>45</v>
      </c>
      <c r="E22" s="2" t="s">
        <v>17</v>
      </c>
      <c r="F22" s="9" t="s">
        <v>41</v>
      </c>
    </row>
    <row r="23" spans="1:5" ht="25.5">
      <c r="A23" s="2" t="s">
        <v>98</v>
      </c>
      <c r="B23" s="7">
        <v>0</v>
      </c>
      <c r="D23" s="2" t="s">
        <v>109</v>
      </c>
      <c r="E23" s="2" t="s">
        <v>7</v>
      </c>
    </row>
    <row r="24" spans="1:5" ht="76.5">
      <c r="A24" s="2" t="s">
        <v>99</v>
      </c>
      <c r="B24" s="7">
        <v>0</v>
      </c>
      <c r="D24" s="2" t="s">
        <v>100</v>
      </c>
      <c r="E24" s="2" t="s">
        <v>102</v>
      </c>
    </row>
    <row r="25" spans="1:4" ht="38.25">
      <c r="A25" s="2" t="s">
        <v>16</v>
      </c>
      <c r="B25" s="7">
        <v>0</v>
      </c>
      <c r="D25" s="2" t="s">
        <v>50</v>
      </c>
    </row>
    <row r="26" spans="1:8" s="1" customFormat="1" ht="12.75">
      <c r="A26" s="3" t="s">
        <v>20</v>
      </c>
      <c r="B26" s="6">
        <f>SUM(B5:B25)</f>
        <v>663949.2458353487</v>
      </c>
      <c r="C26" s="6"/>
      <c r="D26" s="3"/>
      <c r="E26" s="3" t="s">
        <v>21</v>
      </c>
      <c r="F26" s="6">
        <f>SUM(F5:F25)</f>
        <v>663949.2458353487</v>
      </c>
      <c r="G26" s="6"/>
      <c r="H26" s="3"/>
    </row>
    <row r="27" spans="5:6" ht="12.75">
      <c r="E27" s="2" t="s">
        <v>20</v>
      </c>
      <c r="F27" s="9">
        <f>B26</f>
        <v>663949.2458353487</v>
      </c>
    </row>
    <row r="28" spans="1:8" s="1" customFormat="1" ht="25.5">
      <c r="A28" s="3"/>
      <c r="B28" s="6"/>
      <c r="C28" s="6"/>
      <c r="D28" s="3"/>
      <c r="E28" s="3" t="s">
        <v>24</v>
      </c>
      <c r="F28" s="10">
        <f>F26-F27</f>
        <v>0</v>
      </c>
      <c r="G28" s="10"/>
      <c r="H28" s="3"/>
    </row>
    <row r="29" spans="2:8" s="14" customFormat="1" ht="51">
      <c r="B29" s="12"/>
      <c r="C29" s="12"/>
      <c r="E29" s="5" t="s">
        <v>22</v>
      </c>
      <c r="F29" s="13">
        <v>0</v>
      </c>
      <c r="G29" s="13"/>
      <c r="H29" s="5" t="s">
        <v>58</v>
      </c>
    </row>
    <row r="30" spans="2:8" s="14" customFormat="1" ht="51">
      <c r="B30" s="12"/>
      <c r="C30" s="12"/>
      <c r="D30" s="5"/>
      <c r="E30" s="5" t="s">
        <v>27</v>
      </c>
      <c r="F30" s="13">
        <v>0</v>
      </c>
      <c r="G30" s="13"/>
      <c r="H30" s="5" t="s">
        <v>57</v>
      </c>
    </row>
    <row r="31" spans="1:8" s="1" customFormat="1" ht="12.75">
      <c r="A31" s="3"/>
      <c r="B31" s="6"/>
      <c r="C31" s="6"/>
      <c r="D31" s="3"/>
      <c r="E31" s="3" t="s">
        <v>23</v>
      </c>
      <c r="F31" s="10">
        <f>F28-F29+F30</f>
        <v>0</v>
      </c>
      <c r="G31" s="10"/>
      <c r="H31" s="3"/>
    </row>
    <row r="32" spans="1:8" s="1" customFormat="1" ht="12.75">
      <c r="A32" s="3"/>
      <c r="B32" s="6"/>
      <c r="C32" s="6"/>
      <c r="D32" s="3"/>
      <c r="E32" s="3"/>
      <c r="F32" s="10"/>
      <c r="G32" s="10"/>
      <c r="H32" s="3"/>
    </row>
    <row r="33" ht="12.75">
      <c r="A33" s="2" t="s">
        <v>10</v>
      </c>
    </row>
    <row r="35" ht="63.75">
      <c r="A35" s="4" t="s">
        <v>31</v>
      </c>
    </row>
    <row r="37" spans="1:4" ht="12.75">
      <c r="A37" s="3" t="s">
        <v>61</v>
      </c>
      <c r="D37" s="3" t="s">
        <v>88</v>
      </c>
    </row>
    <row r="38" spans="1:8" s="1" customFormat="1" ht="25.5">
      <c r="A38" s="3"/>
      <c r="B38" s="6"/>
      <c r="C38" s="6"/>
      <c r="D38" s="3" t="s">
        <v>66</v>
      </c>
      <c r="E38" s="6">
        <f>F5</f>
        <v>536940</v>
      </c>
      <c r="F38" s="10"/>
      <c r="G38" s="10"/>
      <c r="H38" s="3"/>
    </row>
    <row r="39" spans="1:8" s="1" customFormat="1" ht="27.75" customHeight="1">
      <c r="A39" s="3" t="s">
        <v>70</v>
      </c>
      <c r="B39" s="6">
        <f>'Begroting 2002-2003'!B37</f>
        <v>2107359.1469436507</v>
      </c>
      <c r="C39" s="6"/>
      <c r="E39" s="3"/>
      <c r="F39" s="10"/>
      <c r="G39" s="10"/>
      <c r="H39" s="3"/>
    </row>
    <row r="40" spans="1:8" s="1" customFormat="1" ht="12.75">
      <c r="A40" s="3" t="s">
        <v>71</v>
      </c>
      <c r="B40" s="6">
        <f>B5+B7</f>
        <v>639734.8708353487</v>
      </c>
      <c r="C40" s="6"/>
      <c r="D40" s="3"/>
      <c r="E40" s="3"/>
      <c r="F40" s="10"/>
      <c r="G40" s="10"/>
      <c r="H40" s="3"/>
    </row>
    <row r="41" spans="1:8" s="1" customFormat="1" ht="12.75">
      <c r="A41" s="3" t="s">
        <v>72</v>
      </c>
      <c r="B41" s="6">
        <f>SUM(B39:B40)</f>
        <v>2747094.017778999</v>
      </c>
      <c r="C41" s="6"/>
      <c r="D41" s="3"/>
      <c r="E41" s="3"/>
      <c r="F41" s="10"/>
      <c r="G41" s="10"/>
      <c r="H41" s="3"/>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48"/>
  <sheetViews>
    <sheetView view="pageBreakPreview" zoomScale="75" zoomScaleNormal="75" zoomScaleSheetLayoutView="75" workbookViewId="0" topLeftCell="A1">
      <selection activeCell="C6" sqref="C6"/>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+'2018'!A1+1</f>
        <v>2019</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+'2018'!B4*102.5%</f>
        <v>896.0591809374496</v>
      </c>
      <c r="C4" s="160" t="s">
        <v>210</v>
      </c>
      <c r="D4" s="154"/>
      <c r="E4" s="158" t="s">
        <v>154</v>
      </c>
      <c r="F4" s="161" t="s">
        <v>41</v>
      </c>
      <c r="G4" s="177" t="s">
        <v>171</v>
      </c>
    </row>
    <row r="5" spans="1:7" ht="57.75" customHeight="1">
      <c r="A5" s="158" t="s">
        <v>155</v>
      </c>
      <c r="B5" s="159">
        <f>+'2018'!B5*102.5%</f>
        <v>0</v>
      </c>
      <c r="C5" s="160" t="s">
        <v>52</v>
      </c>
      <c r="D5" s="154"/>
      <c r="E5" s="158" t="s">
        <v>156</v>
      </c>
      <c r="F5" s="168" t="s">
        <v>41</v>
      </c>
      <c r="G5" s="160" t="s">
        <v>50</v>
      </c>
    </row>
    <row r="6" spans="1:7" ht="82.5" customHeight="1">
      <c r="A6" s="158" t="s">
        <v>157</v>
      </c>
      <c r="B6" s="159">
        <f>+'2018'!B6*102.5%</f>
        <v>3328.2198149105266</v>
      </c>
      <c r="C6" s="160" t="s">
        <v>211</v>
      </c>
      <c r="D6" s="154"/>
      <c r="E6" s="154"/>
      <c r="F6" s="163"/>
      <c r="G6" s="154"/>
    </row>
    <row r="7" spans="1:7" ht="81.75" customHeight="1">
      <c r="A7" s="158" t="s">
        <v>158</v>
      </c>
      <c r="B7" s="159">
        <v>4819</v>
      </c>
      <c r="C7" s="160" t="s">
        <v>174</v>
      </c>
      <c r="D7" s="154"/>
      <c r="E7" s="154"/>
      <c r="F7" s="164"/>
      <c r="G7" s="154"/>
    </row>
    <row r="8" spans="1:12" ht="48" customHeight="1">
      <c r="A8" s="158" t="s">
        <v>180</v>
      </c>
      <c r="B8" s="159">
        <f>+'2018'!B8</f>
        <v>6876.340624999999</v>
      </c>
      <c r="C8" s="160" t="str">
        <f>'2005'!D22</f>
        <v>Betreft de werkzaamheden van de treasurer excl. backoffice. Gerekend met 10 dagen op jaarbasis.</v>
      </c>
      <c r="D8" s="154"/>
      <c r="E8" s="154"/>
      <c r="F8" s="157"/>
      <c r="G8" s="154"/>
      <c r="L8" s="179"/>
    </row>
    <row r="9" spans="1:7" ht="52.5" customHeight="1">
      <c r="A9" s="158" t="s">
        <v>3</v>
      </c>
      <c r="B9" s="159">
        <f>+'2018'!B9*102.5%</f>
        <v>5760.380448883606</v>
      </c>
      <c r="C9" s="160" t="s">
        <v>46</v>
      </c>
      <c r="D9" s="154"/>
      <c r="E9" s="154"/>
      <c r="F9" s="157"/>
      <c r="G9" s="154"/>
    </row>
    <row r="10" spans="1:7" ht="12.75" customHeight="1">
      <c r="A10" s="154"/>
      <c r="B10" s="165"/>
      <c r="C10" s="154"/>
      <c r="D10" s="154"/>
      <c r="E10" s="154"/>
      <c r="F10" s="166"/>
      <c r="G10" s="154"/>
    </row>
    <row r="11" spans="1:7" ht="12.75" customHeight="1">
      <c r="A11" s="154"/>
      <c r="B11" s="156">
        <f>SUM(B4:B10)</f>
        <v>21680.00006973158</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+'2018'!B13*102.5%</f>
        <v>0</v>
      </c>
      <c r="C13" s="160" t="str">
        <f>'2004'!D16</f>
        <v>Niet van toepassing. Er zijn middelen beschikbaar. Een deel daarvan zal op de rekening-courant blijven staan.</v>
      </c>
      <c r="D13" s="154"/>
      <c r="E13" s="160" t="s">
        <v>4</v>
      </c>
      <c r="F13" s="162">
        <f>+Totaaloverzicht!S41</f>
        <v>80470.25</v>
      </c>
      <c r="G13" s="160" t="s">
        <v>197</v>
      </c>
    </row>
    <row r="14" spans="1:7" ht="45" customHeight="1">
      <c r="A14" s="160" t="s">
        <v>29</v>
      </c>
      <c r="B14" s="159">
        <f>+'2018'!B14*102.5%</f>
        <v>0</v>
      </c>
      <c r="C14" s="160" t="s">
        <v>94</v>
      </c>
      <c r="D14" s="154"/>
      <c r="E14" s="160" t="s">
        <v>148</v>
      </c>
      <c r="F14" s="162">
        <f>+Totaaloverzicht!S40</f>
        <v>127112.76007720694</v>
      </c>
      <c r="G14" s="160" t="s">
        <v>173</v>
      </c>
    </row>
    <row r="15" spans="1:7" ht="25.5" customHeight="1">
      <c r="A15" s="160" t="s">
        <v>30</v>
      </c>
      <c r="B15" s="159">
        <f>+'2018'!B15*102.5%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+'2018'!B16*102.5%</f>
        <v>1378.5110448524545</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+'2018'!B17*102.5%</f>
        <v>2067.766567278681</v>
      </c>
      <c r="C17" s="160" t="str">
        <f>'2005'!D21</f>
        <v>Kosten aanhouden effectendepot door bank.</v>
      </c>
      <c r="D17" s="154"/>
      <c r="E17" s="160" t="s">
        <v>7</v>
      </c>
      <c r="F17" s="162">
        <f>+Totaaloverzicht!G44</f>
        <v>0</v>
      </c>
      <c r="G17" s="154"/>
    </row>
    <row r="18" spans="1:7" ht="29.25" customHeight="1">
      <c r="A18" s="160" t="str">
        <f>'2005'!A23</f>
        <v>g. koersverschil</v>
      </c>
      <c r="B18" s="159">
        <f>+'2018'!B18*102.5%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3446.2776121311354</v>
      </c>
      <c r="C21" s="160"/>
      <c r="D21" s="154"/>
      <c r="E21" s="154"/>
      <c r="F21" s="157">
        <f>SUM(F13:F20)</f>
        <v>207583.01007720694</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+Totaaloverzicht!S24</f>
        <v>182456.73239534424</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182456.73239534424</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207583.01007720697</v>
      </c>
      <c r="C32" s="160"/>
      <c r="D32" s="160"/>
      <c r="E32" s="154" t="s">
        <v>21</v>
      </c>
      <c r="F32" s="173">
        <f>SUM(+F21+F11+F30)</f>
        <v>207583.01007720694</v>
      </c>
      <c r="G32" s="160"/>
    </row>
    <row r="33" spans="1:7" ht="12.75" customHeight="1" thickTop="1">
      <c r="A33" s="160"/>
      <c r="B33" s="159"/>
      <c r="C33" s="160"/>
      <c r="D33" s="160"/>
      <c r="E33" s="160"/>
      <c r="F33" s="162"/>
      <c r="G33" s="160"/>
    </row>
    <row r="34" spans="1:7" ht="3" customHeight="1">
      <c r="A34" s="160"/>
      <c r="B34" s="159"/>
      <c r="C34" s="160"/>
      <c r="D34" s="160"/>
      <c r="E34" s="160"/>
      <c r="F34" s="162"/>
      <c r="G34" s="160"/>
    </row>
    <row r="35" spans="1:7" ht="3.75"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+Totaaloverzicht!S60</f>
        <v>3831591.385137707</v>
      </c>
      <c r="E40" s="154"/>
      <c r="F40" s="155"/>
      <c r="G40" s="154"/>
    </row>
    <row r="41" spans="1:7" ht="12.75" customHeight="1">
      <c r="A41" s="154"/>
      <c r="B41" s="153"/>
      <c r="C41" s="154" t="s">
        <v>166</v>
      </c>
      <c r="D41" s="165">
        <f>+B24</f>
        <v>182456.73239534424</v>
      </c>
      <c r="E41" s="154"/>
      <c r="F41" s="155"/>
      <c r="G41" s="154"/>
    </row>
    <row r="42" spans="1:7" ht="12.75" customHeight="1">
      <c r="A42" s="154"/>
      <c r="B42" s="153"/>
      <c r="C42" s="154" t="s">
        <v>167</v>
      </c>
      <c r="D42" s="156">
        <f>SUM(D40:D41)</f>
        <v>4014048.1175330514</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+Totaaloverzicht!I62</f>
        <v>957379</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v>
      </c>
      <c r="E47" s="160"/>
      <c r="F47" s="162"/>
      <c r="G47" s="160"/>
    </row>
    <row r="48" spans="1:7" ht="12.75" customHeight="1">
      <c r="A48" s="160"/>
      <c r="B48" s="159"/>
      <c r="D48" s="160"/>
      <c r="E48" s="160"/>
      <c r="F48" s="162"/>
      <c r="G48" s="160"/>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xl/worksheets/sheet21.xml><?xml version="1.0" encoding="utf-8"?>
<worksheet xmlns="http://schemas.openxmlformats.org/spreadsheetml/2006/main" xmlns:r="http://schemas.openxmlformats.org/officeDocument/2006/relationships">
  <dimension ref="A1:L48"/>
  <sheetViews>
    <sheetView tabSelected="1" zoomScale="75" zoomScaleNormal="75" workbookViewId="0" topLeftCell="A1">
      <selection activeCell="F8" sqref="F8"/>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+'2019'!A1+1</f>
        <v>2020</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+'2019'!B4*102.5%</f>
        <v>918.4606604608857</v>
      </c>
      <c r="C4" s="160" t="s">
        <v>210</v>
      </c>
      <c r="D4" s="154"/>
      <c r="E4" s="158" t="s">
        <v>154</v>
      </c>
      <c r="F4" s="161" t="s">
        <v>41</v>
      </c>
      <c r="G4" s="177" t="s">
        <v>171</v>
      </c>
    </row>
    <row r="5" spans="1:7" ht="57.75" customHeight="1">
      <c r="A5" s="158" t="s">
        <v>155</v>
      </c>
      <c r="B5" s="159">
        <f>+'2019'!B5*102.5%</f>
        <v>0</v>
      </c>
      <c r="C5" s="160" t="s">
        <v>52</v>
      </c>
      <c r="D5" s="154"/>
      <c r="E5" s="158" t="s">
        <v>156</v>
      </c>
      <c r="F5" s="168" t="s">
        <v>41</v>
      </c>
      <c r="G5" s="160" t="s">
        <v>50</v>
      </c>
    </row>
    <row r="6" spans="1:7" ht="84" customHeight="1">
      <c r="A6" s="158" t="s">
        <v>157</v>
      </c>
      <c r="B6" s="159">
        <f>+'2019'!B6*102.5%</f>
        <v>3411.4253102832895</v>
      </c>
      <c r="C6" s="160" t="s">
        <v>211</v>
      </c>
      <c r="D6" s="154"/>
      <c r="E6" s="154"/>
      <c r="F6" s="163"/>
      <c r="G6" s="154"/>
    </row>
    <row r="7" spans="1:7" ht="81.75" customHeight="1">
      <c r="A7" s="158" t="s">
        <v>158</v>
      </c>
      <c r="B7" s="159">
        <v>4819</v>
      </c>
      <c r="C7" s="160" t="s">
        <v>174</v>
      </c>
      <c r="D7" s="154"/>
      <c r="E7" s="154"/>
      <c r="F7" s="164"/>
      <c r="G7" s="154"/>
    </row>
    <row r="8" spans="1:12" ht="48" customHeight="1">
      <c r="A8" s="158" t="s">
        <v>180</v>
      </c>
      <c r="B8" s="159">
        <v>7048</v>
      </c>
      <c r="C8" s="160" t="str">
        <f>'2005'!D22</f>
        <v>Betreft de werkzaamheden van de treasurer excl. backoffice. Gerekend met 10 dagen op jaarbasis.</v>
      </c>
      <c r="D8" s="154"/>
      <c r="E8" s="154"/>
      <c r="F8" s="157"/>
      <c r="G8" s="154"/>
      <c r="L8" s="179"/>
    </row>
    <row r="9" spans="1:7" ht="52.5" customHeight="1">
      <c r="A9" s="158" t="s">
        <v>3</v>
      </c>
      <c r="B9" s="159">
        <f>+'2019'!B9*102.5%</f>
        <v>5904.3899601056955</v>
      </c>
      <c r="C9" s="160" t="s">
        <v>46</v>
      </c>
      <c r="D9" s="154"/>
      <c r="E9" s="154"/>
      <c r="F9" s="157"/>
      <c r="G9" s="154"/>
    </row>
    <row r="10" spans="1:7" ht="12.75" customHeight="1">
      <c r="A10" s="154"/>
      <c r="B10" s="165"/>
      <c r="C10" s="154"/>
      <c r="D10" s="154"/>
      <c r="E10" s="154"/>
      <c r="F10" s="166"/>
      <c r="G10" s="154"/>
    </row>
    <row r="11" spans="1:7" ht="12.75" customHeight="1">
      <c r="A11" s="154"/>
      <c r="B11" s="156">
        <f>SUM(B4:B10)+1</f>
        <v>22102.27593084987</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+'2019'!B13*102.5%</f>
        <v>0</v>
      </c>
      <c r="C13" s="160" t="str">
        <f>'2004'!D16</f>
        <v>Niet van toepassing. Er zijn middelen beschikbaar. Een deel daarvan zal op de rekening-courant blijven staan.</v>
      </c>
      <c r="D13" s="154"/>
      <c r="E13" s="160" t="s">
        <v>4</v>
      </c>
      <c r="F13" s="162">
        <f>+Totaaloverzicht!T41</f>
        <v>80470.25</v>
      </c>
      <c r="G13" s="160" t="s">
        <v>209</v>
      </c>
    </row>
    <row r="14" spans="1:7" ht="45" customHeight="1">
      <c r="A14" s="160" t="s">
        <v>29</v>
      </c>
      <c r="B14" s="159">
        <f>+'2019'!B14*102.5%</f>
        <v>0</v>
      </c>
      <c r="C14" s="160" t="s">
        <v>94</v>
      </c>
      <c r="D14" s="154"/>
      <c r="E14" s="160" t="s">
        <v>148</v>
      </c>
      <c r="F14" s="162">
        <f>+Totaaloverzicht!T40</f>
        <v>136743.27863902072</v>
      </c>
      <c r="G14" s="160" t="s">
        <v>173</v>
      </c>
    </row>
    <row r="15" spans="1:7" ht="25.5" customHeight="1">
      <c r="A15" s="160" t="s">
        <v>30</v>
      </c>
      <c r="B15" s="159">
        <f>+'2019'!B15*102.5%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+'2019'!B16*102.5%</f>
        <v>1412.9738209737657</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+'2019'!B17*102.5%</f>
        <v>2119.460731460648</v>
      </c>
      <c r="C17" s="160" t="str">
        <f>'2005'!D21</f>
        <v>Kosten aanhouden effectendepot door bank.</v>
      </c>
      <c r="D17" s="154"/>
      <c r="E17" s="160" t="s">
        <v>7</v>
      </c>
      <c r="F17" s="162">
        <f>+Totaaloverzicht!G44</f>
        <v>0</v>
      </c>
      <c r="G17" s="154"/>
    </row>
    <row r="18" spans="1:7" ht="29.25" customHeight="1">
      <c r="A18" s="160" t="str">
        <f>'2005'!A23</f>
        <v>g. koersverschil</v>
      </c>
      <c r="B18" s="159">
        <f>+'2019'!B18*102.5%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3532.4345524344135</v>
      </c>
      <c r="C21" s="160"/>
      <c r="D21" s="154"/>
      <c r="E21" s="154"/>
      <c r="F21" s="157">
        <f>SUM(F13:F20)</f>
        <v>217213.52863902072</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+Totaaloverzicht!T24</f>
        <v>191579.56901511142</v>
      </c>
      <c r="C24" s="160" t="s">
        <v>169</v>
      </c>
      <c r="D24" s="160"/>
      <c r="E24" s="160"/>
      <c r="F24" s="162"/>
      <c r="G24" s="160"/>
    </row>
    <row r="25" spans="1:7" ht="42" customHeight="1">
      <c r="A25" s="158" t="s">
        <v>162</v>
      </c>
      <c r="B25" s="162">
        <f>+Totaaloverzicht!T25</f>
        <v>0</v>
      </c>
      <c r="C25" s="160" t="s">
        <v>51</v>
      </c>
      <c r="D25" s="160"/>
      <c r="E25" s="158"/>
      <c r="F25" s="162"/>
      <c r="G25" s="160"/>
    </row>
    <row r="26" spans="1:7" ht="42" customHeight="1">
      <c r="A26" s="158" t="s">
        <v>149</v>
      </c>
      <c r="B26" s="162">
        <f>+Totaaloverzicht!T26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191579.56901511142</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217214.2794983957</v>
      </c>
      <c r="C32" s="160"/>
      <c r="D32" s="160"/>
      <c r="E32" s="154" t="s">
        <v>21</v>
      </c>
      <c r="F32" s="173">
        <f>SUM(+F21+F11+F30)</f>
        <v>217213.52863902072</v>
      </c>
      <c r="G32" s="160"/>
    </row>
    <row r="33" spans="1:7" ht="12.75" customHeight="1" thickTop="1">
      <c r="A33" s="160"/>
      <c r="B33" s="159"/>
      <c r="C33" s="160"/>
      <c r="D33" s="160"/>
      <c r="E33" s="160"/>
      <c r="F33" s="162"/>
      <c r="G33" s="160"/>
    </row>
    <row r="34" spans="1:7" ht="12.75" customHeight="1">
      <c r="A34" s="160"/>
      <c r="B34" s="159"/>
      <c r="C34" s="160"/>
      <c r="D34" s="160"/>
      <c r="E34" s="160"/>
      <c r="F34" s="162"/>
      <c r="G34" s="160"/>
    </row>
    <row r="35" spans="1:7" ht="12.75"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+Totaaloverzicht!R60</f>
        <v>3649134.6527423626</v>
      </c>
      <c r="E40" s="154"/>
      <c r="F40" s="155"/>
      <c r="G40" s="154"/>
    </row>
    <row r="41" spans="1:7" ht="12.75" customHeight="1">
      <c r="A41" s="154"/>
      <c r="B41" s="153"/>
      <c r="C41" s="154" t="s">
        <v>166</v>
      </c>
      <c r="D41" s="165">
        <f>+B24</f>
        <v>191579.56901511142</v>
      </c>
      <c r="E41" s="154"/>
      <c r="F41" s="155"/>
      <c r="G41" s="154"/>
    </row>
    <row r="42" spans="1:7" ht="12.75" customHeight="1">
      <c r="A42" s="154"/>
      <c r="B42" s="153"/>
      <c r="C42" s="154" t="s">
        <v>167</v>
      </c>
      <c r="D42" s="156">
        <f>SUM(D40:D41)</f>
        <v>3840714.221757474</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+Totaaloverzicht!H62</f>
        <v>957379.23</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957379.23</v>
      </c>
      <c r="E47" s="160"/>
      <c r="F47" s="162"/>
      <c r="G47" s="160"/>
    </row>
    <row r="48" spans="1:7" ht="12.75" customHeight="1">
      <c r="A48" s="160"/>
      <c r="B48" s="159"/>
      <c r="D48" s="160"/>
      <c r="E48" s="160"/>
      <c r="F48" s="162"/>
      <c r="G48" s="160"/>
    </row>
  </sheetData>
  <mergeCells count="1">
    <mergeCell ref="A37:A38"/>
  </mergeCells>
  <printOptions/>
  <pageMargins left="0.75" right="0.75" top="1" bottom="1" header="0.5" footer="0.5"/>
  <pageSetup horizontalDpi="600" verticalDpi="600" orientation="landscape" paperSize="9" scale="67" r:id="rId1"/>
  <rowBreaks count="1" manualBreakCount="1">
    <brk id="11" max="7" man="1"/>
  </rowBreaks>
</worksheet>
</file>

<file path=xl/worksheets/sheet22.xml><?xml version="1.0" encoding="utf-8"?>
<worksheet xmlns="http://schemas.openxmlformats.org/spreadsheetml/2006/main" xmlns:r="http://schemas.openxmlformats.org/officeDocument/2006/relationships">
  <dimension ref="A1:L48"/>
  <sheetViews>
    <sheetView zoomScale="75" zoomScaleNormal="75" workbookViewId="0" topLeftCell="A1">
      <selection activeCell="F13" sqref="F13"/>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+'2020'!A1+1</f>
        <v>2021</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+'2020'!B4*102.5%</f>
        <v>941.4221769724078</v>
      </c>
      <c r="C4" s="160" t="s">
        <v>186</v>
      </c>
      <c r="D4" s="154"/>
      <c r="E4" s="158" t="s">
        <v>154</v>
      </c>
      <c r="F4" s="161" t="s">
        <v>41</v>
      </c>
      <c r="G4" s="177" t="s">
        <v>171</v>
      </c>
    </row>
    <row r="5" spans="1:7" ht="52.5" customHeight="1">
      <c r="A5" s="158" t="s">
        <v>155</v>
      </c>
      <c r="B5" s="159">
        <f>+'2020'!B5*102.5%</f>
        <v>0</v>
      </c>
      <c r="C5" s="160" t="s">
        <v>52</v>
      </c>
      <c r="D5" s="154"/>
      <c r="E5" s="158" t="s">
        <v>156</v>
      </c>
      <c r="F5" s="168" t="s">
        <v>41</v>
      </c>
      <c r="G5" s="160" t="s">
        <v>50</v>
      </c>
    </row>
    <row r="6" spans="1:7" ht="64.5" customHeight="1">
      <c r="A6" s="158" t="s">
        <v>157</v>
      </c>
      <c r="B6" s="159">
        <f>+'2020'!B6*102.5%</f>
        <v>3496.7109430403716</v>
      </c>
      <c r="C6" s="160" t="s">
        <v>182</v>
      </c>
      <c r="D6" s="154"/>
      <c r="E6" s="154"/>
      <c r="F6" s="163"/>
      <c r="G6" s="154"/>
    </row>
    <row r="7" spans="1:7" ht="81.75" customHeight="1">
      <c r="A7" s="158" t="s">
        <v>158</v>
      </c>
      <c r="B7" s="159">
        <v>4819</v>
      </c>
      <c r="C7" s="160" t="s">
        <v>174</v>
      </c>
      <c r="D7" s="154"/>
      <c r="E7" s="154"/>
      <c r="F7" s="164"/>
      <c r="G7" s="154"/>
    </row>
    <row r="8" spans="1:12" ht="48" customHeight="1">
      <c r="A8" s="158" t="s">
        <v>180</v>
      </c>
      <c r="B8" s="159">
        <v>7048</v>
      </c>
      <c r="C8" s="160" t="str">
        <f>'2005'!D22</f>
        <v>Betreft de werkzaamheden van de treasurer excl. backoffice. Gerekend met 10 dagen op jaarbasis.</v>
      </c>
      <c r="D8" s="154"/>
      <c r="E8" s="154"/>
      <c r="F8" s="157"/>
      <c r="G8" s="154"/>
      <c r="L8" s="179"/>
    </row>
    <row r="9" spans="1:7" ht="52.5" customHeight="1">
      <c r="A9" s="158" t="s">
        <v>3</v>
      </c>
      <c r="B9" s="159">
        <f>+'2020'!B9*102.5%</f>
        <v>6051.999709108338</v>
      </c>
      <c r="C9" s="160" t="s">
        <v>46</v>
      </c>
      <c r="D9" s="154"/>
      <c r="E9" s="154"/>
      <c r="F9" s="157"/>
      <c r="G9" s="154"/>
    </row>
    <row r="10" spans="1:7" ht="12.75" customHeight="1">
      <c r="A10" s="154"/>
      <c r="B10" s="165"/>
      <c r="C10" s="154"/>
      <c r="D10" s="154"/>
      <c r="E10" s="154"/>
      <c r="F10" s="166"/>
      <c r="G10" s="154"/>
    </row>
    <row r="11" spans="1:7" ht="12.75" customHeight="1">
      <c r="A11" s="154"/>
      <c r="B11" s="156">
        <f>SUM(B4:B10)+1</f>
        <v>22358.132829121118</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+'2020'!B13*102.5%</f>
        <v>0</v>
      </c>
      <c r="C13" s="160" t="str">
        <f>'2004'!D16</f>
        <v>Niet van toepassing. Er zijn middelen beschikbaar. Een deel daarvan zal op de rekening-courant blijven staan.</v>
      </c>
      <c r="D13" s="154"/>
      <c r="E13" s="160" t="s">
        <v>4</v>
      </c>
      <c r="F13" s="162">
        <f>+Totaaloverzicht!T41</f>
        <v>80470.25</v>
      </c>
      <c r="G13" s="160" t="s">
        <v>197</v>
      </c>
    </row>
    <row r="14" spans="1:7" ht="45" customHeight="1">
      <c r="A14" s="160" t="s">
        <v>29</v>
      </c>
      <c r="B14" s="159">
        <f>+'2020'!B14*102.5%</f>
        <v>0</v>
      </c>
      <c r="C14" s="160" t="s">
        <v>94</v>
      </c>
      <c r="D14" s="154"/>
      <c r="E14" s="160" t="s">
        <v>148</v>
      </c>
      <c r="F14" s="162">
        <f>+Totaaloverzicht!U40</f>
        <v>146666.4248518584</v>
      </c>
      <c r="G14" s="160" t="s">
        <v>173</v>
      </c>
    </row>
    <row r="15" spans="1:7" ht="25.5" customHeight="1">
      <c r="A15" s="160" t="s">
        <v>30</v>
      </c>
      <c r="B15" s="159">
        <f>+'2020'!B15*102.5%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+'2020'!B16*102.5%</f>
        <v>1448.2981664981096</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+'2020'!B17*102.5%</f>
        <v>2172.447249747164</v>
      </c>
      <c r="C17" s="160" t="str">
        <f>'2005'!D21</f>
        <v>Kosten aanhouden effectendepot door bank.</v>
      </c>
      <c r="D17" s="154"/>
      <c r="E17" s="160" t="s">
        <v>7</v>
      </c>
      <c r="F17" s="162">
        <f>+Totaaloverzicht!G44</f>
        <v>0</v>
      </c>
      <c r="G17" s="154"/>
    </row>
    <row r="18" spans="1:7" ht="29.25" customHeight="1">
      <c r="A18" s="160" t="str">
        <f>'2005'!A23</f>
        <v>g. koersverschil</v>
      </c>
      <c r="B18" s="159">
        <f>+'2020'!B18*102.5%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3620.745416245273</v>
      </c>
      <c r="C21" s="160"/>
      <c r="D21" s="154"/>
      <c r="E21" s="154"/>
      <c r="F21" s="157">
        <f>SUM(F13:F20)</f>
        <v>227136.6748518584</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+Totaaloverzicht!U24</f>
        <v>201158.547465867</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201158.547465867</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227137.4257112334</v>
      </c>
      <c r="C32" s="160"/>
      <c r="D32" s="160"/>
      <c r="E32" s="154" t="s">
        <v>21</v>
      </c>
      <c r="F32" s="173">
        <f>SUM(+F21+F11+F30)</f>
        <v>227136.6748518584</v>
      </c>
      <c r="G32" s="160"/>
    </row>
    <row r="33" spans="1:7" ht="12.75" customHeight="1" thickTop="1">
      <c r="A33" s="160"/>
      <c r="B33" s="159"/>
      <c r="C33" s="160"/>
      <c r="D33" s="160"/>
      <c r="E33" s="160"/>
      <c r="F33" s="162"/>
      <c r="G33" s="160"/>
    </row>
    <row r="34" spans="1:7" ht="12.75" customHeight="1">
      <c r="A34" s="160"/>
      <c r="B34" s="159"/>
      <c r="C34" s="160"/>
      <c r="D34" s="160"/>
      <c r="E34" s="160"/>
      <c r="F34" s="162"/>
      <c r="G34" s="160"/>
    </row>
    <row r="35" spans="1:7" ht="12.75"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+Totaaloverzicht!T60</f>
        <v>4023170.9541528183</v>
      </c>
      <c r="E40" s="154"/>
      <c r="F40" s="155"/>
      <c r="G40" s="154"/>
    </row>
    <row r="41" spans="1:7" ht="12.75" customHeight="1">
      <c r="A41" s="154"/>
      <c r="B41" s="153"/>
      <c r="C41" s="154" t="s">
        <v>166</v>
      </c>
      <c r="D41" s="165">
        <f>+B24</f>
        <v>201158.547465867</v>
      </c>
      <c r="E41" s="154"/>
      <c r="F41" s="155"/>
      <c r="G41" s="154"/>
    </row>
    <row r="42" spans="1:7" ht="12.75" customHeight="1">
      <c r="A42" s="154"/>
      <c r="B42" s="153"/>
      <c r="C42" s="154" t="s">
        <v>167</v>
      </c>
      <c r="D42" s="156">
        <f>SUM(D40:D41)</f>
        <v>4224329.501618685</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0</v>
      </c>
      <c r="E47" s="160"/>
      <c r="F47" s="162"/>
      <c r="G47" s="160"/>
    </row>
    <row r="48" spans="1:7" ht="12.75" customHeight="1">
      <c r="A48" s="160"/>
      <c r="B48" s="159"/>
      <c r="D48" s="160"/>
      <c r="E48" s="160"/>
      <c r="F48" s="162"/>
      <c r="G48" s="160"/>
    </row>
  </sheetData>
  <mergeCells count="1">
    <mergeCell ref="A37:A3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48"/>
  <sheetViews>
    <sheetView workbookViewId="0" topLeftCell="A1">
      <selection activeCell="D46" sqref="D46"/>
    </sheetView>
  </sheetViews>
  <sheetFormatPr defaultColWidth="9.140625" defaultRowHeight="12.75"/>
  <cols>
    <col min="1" max="1" width="33.7109375" style="85" customWidth="1"/>
    <col min="2" max="2" width="10.7109375" style="88" customWidth="1"/>
    <col min="3" max="3" width="33.7109375" style="85" customWidth="1"/>
    <col min="4" max="4" width="10.7109375" style="88" customWidth="1"/>
    <col min="5" max="5" width="33.7109375" style="85" customWidth="1"/>
    <col min="6" max="6" width="10.7109375" style="88" customWidth="1"/>
    <col min="7" max="7" width="33.7109375" style="85" customWidth="1"/>
    <col min="8" max="16384" width="9.140625" style="88" customWidth="1"/>
  </cols>
  <sheetData>
    <row r="1" spans="1:7" ht="15.75">
      <c r="A1" s="176">
        <f>+'2021'!A1+1</f>
        <v>2022</v>
      </c>
      <c r="B1" s="174"/>
      <c r="C1" s="174" t="s">
        <v>49</v>
      </c>
      <c r="D1" s="175"/>
      <c r="E1" s="174"/>
      <c r="F1" s="174"/>
      <c r="G1" s="174"/>
    </row>
    <row r="2" spans="1:7" ht="12.75" customHeight="1">
      <c r="A2" s="154" t="s">
        <v>0</v>
      </c>
      <c r="B2" s="156"/>
      <c r="C2" s="154"/>
      <c r="D2" s="154"/>
      <c r="E2" s="154" t="s">
        <v>1</v>
      </c>
      <c r="F2" s="155"/>
      <c r="G2" s="154"/>
    </row>
    <row r="3" spans="1:7" ht="12.75" customHeight="1">
      <c r="A3" s="154" t="s">
        <v>34</v>
      </c>
      <c r="B3" s="156" t="s">
        <v>35</v>
      </c>
      <c r="C3" s="154" t="s">
        <v>36</v>
      </c>
      <c r="D3" s="154"/>
      <c r="E3" s="154" t="s">
        <v>34</v>
      </c>
      <c r="F3" s="157" t="s">
        <v>35</v>
      </c>
      <c r="G3" s="154" t="s">
        <v>36</v>
      </c>
    </row>
    <row r="4" spans="1:7" ht="63" customHeight="1">
      <c r="A4" s="158" t="s">
        <v>2</v>
      </c>
      <c r="B4" s="159">
        <f>+'2021'!B4*102.5%</f>
        <v>964.9577313967179</v>
      </c>
      <c r="C4" s="160" t="s">
        <v>186</v>
      </c>
      <c r="D4" s="154"/>
      <c r="E4" s="158" t="s">
        <v>154</v>
      </c>
      <c r="F4" s="161" t="s">
        <v>41</v>
      </c>
      <c r="G4" s="177" t="s">
        <v>171</v>
      </c>
    </row>
    <row r="5" spans="1:7" ht="52.5" customHeight="1">
      <c r="A5" s="158" t="s">
        <v>155</v>
      </c>
      <c r="B5" s="159">
        <f>+'2021'!B5*102.5%</f>
        <v>0</v>
      </c>
      <c r="C5" s="160" t="s">
        <v>52</v>
      </c>
      <c r="D5" s="154"/>
      <c r="E5" s="158" t="s">
        <v>156</v>
      </c>
      <c r="F5" s="168" t="s">
        <v>41</v>
      </c>
      <c r="G5" s="160" t="s">
        <v>50</v>
      </c>
    </row>
    <row r="6" spans="1:7" ht="64.5" customHeight="1">
      <c r="A6" s="158" t="s">
        <v>157</v>
      </c>
      <c r="B6" s="159">
        <f>+'2021'!B6*102.5%</f>
        <v>3584.1287166163806</v>
      </c>
      <c r="C6" s="160" t="s">
        <v>182</v>
      </c>
      <c r="D6" s="154"/>
      <c r="E6" s="154"/>
      <c r="F6" s="163"/>
      <c r="G6" s="154"/>
    </row>
    <row r="7" spans="1:7" ht="81.75" customHeight="1">
      <c r="A7" s="158" t="s">
        <v>158</v>
      </c>
      <c r="B7" s="159">
        <v>4819</v>
      </c>
      <c r="C7" s="160" t="s">
        <v>174</v>
      </c>
      <c r="D7" s="154"/>
      <c r="E7" s="154"/>
      <c r="F7" s="164"/>
      <c r="G7" s="154"/>
    </row>
    <row r="8" spans="1:12" ht="48" customHeight="1">
      <c r="A8" s="158" t="s">
        <v>180</v>
      </c>
      <c r="B8" s="159">
        <v>7048</v>
      </c>
      <c r="C8" s="160" t="str">
        <f>'2005'!D22</f>
        <v>Betreft de werkzaamheden van de treasurer excl. backoffice. Gerekend met 10 dagen op jaarbasis.</v>
      </c>
      <c r="D8" s="154"/>
      <c r="E8" s="154"/>
      <c r="F8" s="157"/>
      <c r="G8" s="154"/>
      <c r="L8" s="179"/>
    </row>
    <row r="9" spans="1:7" ht="52.5" customHeight="1">
      <c r="A9" s="158" t="s">
        <v>3</v>
      </c>
      <c r="B9" s="159">
        <f>+'2021'!B9*102.5%</f>
        <v>6203.299701836046</v>
      </c>
      <c r="C9" s="160" t="s">
        <v>46</v>
      </c>
      <c r="D9" s="154"/>
      <c r="E9" s="154"/>
      <c r="F9" s="157"/>
      <c r="G9" s="154"/>
    </row>
    <row r="10" spans="1:7" ht="12.75" customHeight="1">
      <c r="A10" s="154"/>
      <c r="B10" s="165"/>
      <c r="C10" s="154"/>
      <c r="D10" s="154"/>
      <c r="E10" s="154"/>
      <c r="F10" s="166"/>
      <c r="G10" s="154"/>
    </row>
    <row r="11" spans="1:7" ht="12.75" customHeight="1">
      <c r="A11" s="154"/>
      <c r="B11" s="156">
        <f>SUM(B4:B10)+1</f>
        <v>22620.386149849146</v>
      </c>
      <c r="C11" s="154"/>
      <c r="D11" s="154"/>
      <c r="E11" s="154"/>
      <c r="F11" s="155">
        <f>SUM(F4:F10)</f>
        <v>0</v>
      </c>
      <c r="G11" s="154"/>
    </row>
    <row r="12" spans="1:7" ht="19.5" customHeight="1">
      <c r="A12" s="167" t="s">
        <v>159</v>
      </c>
      <c r="B12" s="156"/>
      <c r="C12" s="154"/>
      <c r="D12" s="154"/>
      <c r="E12" s="167" t="s">
        <v>147</v>
      </c>
      <c r="F12" s="157"/>
      <c r="G12" s="154"/>
    </row>
    <row r="13" spans="1:7" ht="45.75" customHeight="1">
      <c r="A13" s="160" t="s">
        <v>8</v>
      </c>
      <c r="B13" s="159">
        <f>+'2021'!B13*102.5%</f>
        <v>0</v>
      </c>
      <c r="C13" s="160" t="str">
        <f>'2004'!D16</f>
        <v>Niet van toepassing. Er zijn middelen beschikbaar. Een deel daarvan zal op de rekening-courant blijven staan.</v>
      </c>
      <c r="D13" s="154"/>
      <c r="E13" s="160" t="s">
        <v>4</v>
      </c>
      <c r="F13" s="162">
        <f>+Totaaloverzicht!V41</f>
        <v>80470.25</v>
      </c>
      <c r="G13" s="160" t="s">
        <v>197</v>
      </c>
    </row>
    <row r="14" spans="1:7" ht="45" customHeight="1">
      <c r="A14" s="160" t="s">
        <v>29</v>
      </c>
      <c r="B14" s="159">
        <f>+'2021'!B14*102.5%</f>
        <v>0</v>
      </c>
      <c r="C14" s="160" t="s">
        <v>94</v>
      </c>
      <c r="D14" s="154"/>
      <c r="E14" s="160" t="s">
        <v>148</v>
      </c>
      <c r="F14" s="162">
        <f>+Totaaloverzicht!V40</f>
        <v>157077.1241812859</v>
      </c>
      <c r="G14" s="160" t="s">
        <v>173</v>
      </c>
    </row>
    <row r="15" spans="1:7" ht="25.5" customHeight="1">
      <c r="A15" s="160" t="s">
        <v>30</v>
      </c>
      <c r="B15" s="159">
        <f>+'2021'!B15*102.5%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+'2021'!B16*102.5%</f>
        <v>1484.5056206605623</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+'2021'!B17*102.5%</f>
        <v>2226.758430990843</v>
      </c>
      <c r="C17" s="160" t="str">
        <f>'2005'!D21</f>
        <v>Kosten aanhouden effectendepot door bank.</v>
      </c>
      <c r="D17" s="154"/>
      <c r="E17" s="160" t="s">
        <v>7</v>
      </c>
      <c r="F17" s="162">
        <f>+Totaaloverzicht!G44</f>
        <v>0</v>
      </c>
      <c r="G17" s="154"/>
    </row>
    <row r="18" spans="1:7" ht="29.25" customHeight="1">
      <c r="A18" s="160" t="str">
        <f>'2005'!A23</f>
        <v>g. koersverschil</v>
      </c>
      <c r="B18" s="159">
        <f>+'2021'!B18*102.5%</f>
        <v>0</v>
      </c>
      <c r="C18" s="160" t="str">
        <f>'2005'!D23</f>
        <v>Koersontwikkeling, doet zich in de jaarrekening voor.</v>
      </c>
      <c r="D18" s="154"/>
      <c r="E18" s="154"/>
      <c r="F18" s="157"/>
      <c r="G18" s="157"/>
    </row>
    <row r="19" spans="1:7" ht="42.75" customHeight="1">
      <c r="A19" s="160" t="str">
        <f>'2005'!A24</f>
        <v>h. afschrijving agio/disagio</v>
      </c>
      <c r="B19" s="159">
        <v>0</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3711.264051651405</v>
      </c>
      <c r="C21" s="160"/>
      <c r="D21" s="154"/>
      <c r="E21" s="154"/>
      <c r="F21" s="157">
        <f>SUM(F13:F20)</f>
        <v>237547.3741812859</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+Totaaloverzicht!V24</f>
        <v>211216.47483916036</v>
      </c>
      <c r="C24" s="160" t="s">
        <v>169</v>
      </c>
      <c r="D24" s="160"/>
      <c r="E24" s="160"/>
      <c r="F24" s="162"/>
      <c r="G24" s="160"/>
    </row>
    <row r="25" spans="1:7" ht="42" customHeight="1">
      <c r="A25" s="158" t="s">
        <v>162</v>
      </c>
      <c r="B25" s="162">
        <f>+Totaaloverzicht!V25</f>
        <v>0</v>
      </c>
      <c r="C25" s="160" t="s">
        <v>51</v>
      </c>
      <c r="D25" s="160"/>
      <c r="E25" s="158"/>
      <c r="F25" s="162"/>
      <c r="G25" s="160"/>
    </row>
    <row r="26" spans="1:7" ht="42" customHeight="1">
      <c r="A26" s="158" t="s">
        <v>149</v>
      </c>
      <c r="B26" s="162">
        <f>+Totaaloverzicht!V26</f>
        <v>0</v>
      </c>
      <c r="C26" s="160" t="s">
        <v>172</v>
      </c>
      <c r="D26" s="160"/>
      <c r="E26" s="158" t="s">
        <v>153</v>
      </c>
      <c r="F26" s="162"/>
      <c r="G26" s="160" t="s">
        <v>170</v>
      </c>
    </row>
    <row r="27" spans="1:7" ht="33" customHeight="1">
      <c r="A27" s="158" t="s">
        <v>150</v>
      </c>
      <c r="B27" s="162">
        <f>+Totaaloverzicht!V27</f>
        <v>0</v>
      </c>
      <c r="C27" s="160" t="s">
        <v>178</v>
      </c>
      <c r="D27" s="160"/>
      <c r="E27" s="158" t="s">
        <v>152</v>
      </c>
      <c r="F27" s="162" t="s">
        <v>41</v>
      </c>
      <c r="G27" s="160" t="s">
        <v>179</v>
      </c>
    </row>
    <row r="28" spans="1:7" ht="30" customHeight="1">
      <c r="A28" s="158" t="s">
        <v>163</v>
      </c>
      <c r="B28" s="162">
        <f>+Totaaloverzicht!V28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211216.47483916036</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237548.1250406609</v>
      </c>
      <c r="C32" s="160"/>
      <c r="D32" s="160"/>
      <c r="E32" s="154" t="s">
        <v>21</v>
      </c>
      <c r="F32" s="173">
        <f>SUM(+F21+F11+F30)+1</f>
        <v>237548.3741812859</v>
      </c>
      <c r="G32" s="160"/>
    </row>
    <row r="33" spans="1:7" ht="12.75" customHeight="1" thickTop="1">
      <c r="A33" s="160"/>
      <c r="B33" s="159"/>
      <c r="C33" s="160"/>
      <c r="D33" s="160"/>
      <c r="E33" s="160"/>
      <c r="F33" s="162"/>
      <c r="G33" s="160"/>
    </row>
    <row r="34" spans="1:7" ht="12.75" customHeight="1">
      <c r="A34" s="160"/>
      <c r="B34" s="159"/>
      <c r="C34" s="160"/>
      <c r="D34" s="160"/>
      <c r="E34" s="160"/>
      <c r="F34" s="162"/>
      <c r="G34" s="160"/>
    </row>
    <row r="35" spans="1:7" ht="12.75" customHeight="1">
      <c r="A35" s="160"/>
      <c r="B35" s="159"/>
      <c r="C35" s="160"/>
      <c r="D35" s="160"/>
      <c r="E35" s="160"/>
      <c r="F35" s="162"/>
      <c r="G35" s="160"/>
    </row>
    <row r="36" spans="1:7" ht="12.75" customHeight="1">
      <c r="A36" s="160"/>
      <c r="B36" s="159"/>
      <c r="C36" s="160"/>
      <c r="D36" s="160"/>
      <c r="E36" s="160"/>
      <c r="F36" s="162"/>
      <c r="G36" s="160"/>
    </row>
    <row r="37" spans="1:7" ht="12.75" customHeight="1">
      <c r="A37" s="217" t="s">
        <v>183</v>
      </c>
      <c r="B37" s="159"/>
      <c r="C37" s="154" t="s">
        <v>89</v>
      </c>
      <c r="D37" s="154"/>
      <c r="E37" s="160"/>
      <c r="F37" s="162"/>
      <c r="G37" s="160"/>
    </row>
    <row r="38" spans="1:7" ht="12.75" customHeight="1">
      <c r="A38" s="217"/>
      <c r="B38" s="156"/>
      <c r="C38" s="154" t="s">
        <v>77</v>
      </c>
      <c r="D38" s="154"/>
      <c r="E38" s="156"/>
      <c r="F38" s="155"/>
      <c r="G38" s="154"/>
    </row>
    <row r="39" spans="1:7" ht="12.75" customHeight="1">
      <c r="A39" s="154"/>
      <c r="B39" s="156"/>
      <c r="C39" s="154"/>
      <c r="D39" s="154"/>
      <c r="E39" s="156"/>
      <c r="F39" s="155"/>
      <c r="G39" s="154"/>
    </row>
    <row r="40" spans="1:7" ht="12.75" customHeight="1">
      <c r="A40" s="174" t="s">
        <v>164</v>
      </c>
      <c r="B40" s="153"/>
      <c r="C40" s="154" t="s">
        <v>165</v>
      </c>
      <c r="D40" s="156">
        <f>+Totaaloverzicht!R60</f>
        <v>3649134.6527423626</v>
      </c>
      <c r="E40" s="154"/>
      <c r="F40" s="155"/>
      <c r="G40" s="154"/>
    </row>
    <row r="41" spans="1:7" ht="12.75" customHeight="1">
      <c r="A41" s="154"/>
      <c r="B41" s="153"/>
      <c r="C41" s="154" t="s">
        <v>166</v>
      </c>
      <c r="D41" s="165">
        <f>+B24</f>
        <v>211216.47483916036</v>
      </c>
      <c r="E41" s="154"/>
      <c r="F41" s="155"/>
      <c r="G41" s="154"/>
    </row>
    <row r="42" spans="1:7" ht="12.75" customHeight="1">
      <c r="A42" s="154"/>
      <c r="B42" s="153"/>
      <c r="C42" s="154" t="s">
        <v>167</v>
      </c>
      <c r="D42" s="156">
        <f>SUM(D40:D41)</f>
        <v>3860351.127581523</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+Totaaloverzicht!I62</f>
        <v>957379</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957379</v>
      </c>
      <c r="E47" s="160"/>
      <c r="F47" s="162"/>
      <c r="G47" s="160"/>
    </row>
    <row r="48" spans="1:7" ht="12.75" customHeight="1">
      <c r="A48" s="160"/>
      <c r="B48" s="159"/>
      <c r="D48" s="160"/>
      <c r="E48" s="160"/>
      <c r="F48" s="162"/>
      <c r="G48" s="160"/>
    </row>
  </sheetData>
  <mergeCells count="1">
    <mergeCell ref="A37:A3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65"/>
  <sheetViews>
    <sheetView zoomScale="85" zoomScaleNormal="85" workbookViewId="0" topLeftCell="A1">
      <pane ySplit="2" topLeftCell="BM19" activePane="bottomLeft" state="frozen"/>
      <selection pane="topLeft" activeCell="B61" sqref="B61"/>
      <selection pane="bottomLeft" activeCell="AH15" sqref="AH15"/>
    </sheetView>
  </sheetViews>
  <sheetFormatPr defaultColWidth="9.140625" defaultRowHeight="12.75"/>
  <cols>
    <col min="1" max="1" width="28.57421875" style="85" customWidth="1"/>
    <col min="2" max="3" width="10.421875" style="84" hidden="1" customWidth="1"/>
    <col min="4" max="4" width="10.7109375" style="84" hidden="1" customWidth="1"/>
    <col min="5" max="5" width="11.421875" style="187" hidden="1" customWidth="1"/>
    <col min="6" max="9" width="11.421875" style="84" hidden="1" customWidth="1"/>
    <col min="10" max="16" width="10.7109375" style="84" customWidth="1"/>
    <col min="17" max="17" width="10.7109375" style="85" customWidth="1"/>
    <col min="18" max="18" width="10.7109375" style="86" customWidth="1"/>
    <col min="19" max="20" width="10.7109375" style="87" customWidth="1"/>
    <col min="21" max="21" width="10.7109375" style="87" hidden="1" customWidth="1"/>
    <col min="22" max="32" width="10.7109375" style="88" hidden="1" customWidth="1"/>
    <col min="33" max="37" width="10.7109375" style="88" customWidth="1"/>
    <col min="38" max="16384" width="9.140625" style="88" customWidth="1"/>
  </cols>
  <sheetData>
    <row r="1" spans="1:21" s="76" customFormat="1" ht="18">
      <c r="A1" s="208" t="s">
        <v>78</v>
      </c>
      <c r="B1" s="208"/>
      <c r="C1" s="208"/>
      <c r="D1" s="208"/>
      <c r="E1" s="208"/>
      <c r="F1" s="208"/>
      <c r="G1" s="208"/>
      <c r="H1" s="208"/>
      <c r="I1" s="208"/>
      <c r="J1" s="208"/>
      <c r="K1" s="208"/>
      <c r="L1" s="208"/>
      <c r="M1" s="208"/>
      <c r="N1" s="208"/>
      <c r="O1" s="208"/>
      <c r="Q1" s="77"/>
      <c r="R1" s="78"/>
      <c r="S1" s="79"/>
      <c r="T1" s="79"/>
      <c r="U1" s="79"/>
    </row>
    <row r="2" spans="1:32" s="76" customFormat="1" ht="12.75">
      <c r="A2" s="77" t="s">
        <v>34</v>
      </c>
      <c r="B2" s="81" t="s">
        <v>84</v>
      </c>
      <c r="C2" s="82">
        <v>2004</v>
      </c>
      <c r="D2" s="82">
        <v>2005</v>
      </c>
      <c r="E2" s="180"/>
      <c r="F2" s="82">
        <f>+D2+1</f>
        <v>2006</v>
      </c>
      <c r="G2" s="82">
        <f aca="true" t="shared" si="0" ref="G2:AF2">+F2+1</f>
        <v>2007</v>
      </c>
      <c r="H2" s="82">
        <f t="shared" si="0"/>
        <v>2008</v>
      </c>
      <c r="I2" s="82">
        <f>+H2+1</f>
        <v>2009</v>
      </c>
      <c r="J2" s="82">
        <f t="shared" si="0"/>
        <v>2010</v>
      </c>
      <c r="K2" s="82">
        <f t="shared" si="0"/>
        <v>2011</v>
      </c>
      <c r="L2" s="82">
        <f t="shared" si="0"/>
        <v>2012</v>
      </c>
      <c r="M2" s="82">
        <f t="shared" si="0"/>
        <v>2013</v>
      </c>
      <c r="N2" s="82">
        <f t="shared" si="0"/>
        <v>2014</v>
      </c>
      <c r="O2" s="82">
        <f t="shared" si="0"/>
        <v>2015</v>
      </c>
      <c r="P2" s="82">
        <f t="shared" si="0"/>
        <v>2016</v>
      </c>
      <c r="Q2" s="82">
        <f t="shared" si="0"/>
        <v>2017</v>
      </c>
      <c r="R2" s="82">
        <f t="shared" si="0"/>
        <v>2018</v>
      </c>
      <c r="S2" s="82">
        <f t="shared" si="0"/>
        <v>2019</v>
      </c>
      <c r="T2" s="82">
        <f t="shared" si="0"/>
        <v>2020</v>
      </c>
      <c r="U2" s="82">
        <f t="shared" si="0"/>
        <v>2021</v>
      </c>
      <c r="V2" s="82">
        <f t="shared" si="0"/>
        <v>2022</v>
      </c>
      <c r="W2" s="82">
        <f t="shared" si="0"/>
        <v>2023</v>
      </c>
      <c r="X2" s="82">
        <f t="shared" si="0"/>
        <v>2024</v>
      </c>
      <c r="Y2" s="82">
        <f t="shared" si="0"/>
        <v>2025</v>
      </c>
      <c r="Z2" s="82">
        <f t="shared" si="0"/>
        <v>2026</v>
      </c>
      <c r="AA2" s="82">
        <f t="shared" si="0"/>
        <v>2027</v>
      </c>
      <c r="AB2" s="82">
        <f t="shared" si="0"/>
        <v>2028</v>
      </c>
      <c r="AC2" s="82">
        <f t="shared" si="0"/>
        <v>2029</v>
      </c>
      <c r="AD2" s="82">
        <f t="shared" si="0"/>
        <v>2030</v>
      </c>
      <c r="AE2" s="82">
        <f t="shared" si="0"/>
        <v>2031</v>
      </c>
      <c r="AF2" s="82">
        <f t="shared" si="0"/>
        <v>2032</v>
      </c>
    </row>
    <row r="3" spans="1:32" s="76" customFormat="1" ht="15.75">
      <c r="A3" s="92" t="s">
        <v>0</v>
      </c>
      <c r="B3" s="81"/>
      <c r="C3" s="82"/>
      <c r="D3" s="123"/>
      <c r="E3" s="181"/>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12.75">
      <c r="A4" s="83" t="s">
        <v>2</v>
      </c>
      <c r="B4" s="84">
        <f>'Begroting 2002-2003'!B10</f>
        <v>2100</v>
      </c>
      <c r="C4" s="84">
        <f>'2004'!B9</f>
        <v>1614.3749999999998</v>
      </c>
      <c r="D4" s="122">
        <f>'2005'!B9</f>
        <v>1654.7343749999995</v>
      </c>
      <c r="E4" s="182">
        <v>100000</v>
      </c>
      <c r="F4" s="122">
        <v>2018</v>
      </c>
      <c r="G4" s="122">
        <f aca="true" t="shared" si="1" ref="G4:AF4">+F4*102.5%</f>
        <v>2068.45</v>
      </c>
      <c r="H4" s="122">
        <v>1200</v>
      </c>
      <c r="I4" s="122">
        <v>700</v>
      </c>
      <c r="J4" s="122">
        <f t="shared" si="1"/>
        <v>717.4999999999999</v>
      </c>
      <c r="K4" s="122">
        <f t="shared" si="1"/>
        <v>735.4374999999998</v>
      </c>
      <c r="L4" s="122">
        <f t="shared" si="1"/>
        <v>753.8234374999997</v>
      </c>
      <c r="M4" s="122">
        <f t="shared" si="1"/>
        <v>772.6690234374996</v>
      </c>
      <c r="N4" s="122">
        <f t="shared" si="1"/>
        <v>791.985749023437</v>
      </c>
      <c r="O4" s="122">
        <f t="shared" si="1"/>
        <v>811.7853927490229</v>
      </c>
      <c r="P4" s="122">
        <f t="shared" si="1"/>
        <v>832.0800275677484</v>
      </c>
      <c r="Q4" s="122">
        <f t="shared" si="1"/>
        <v>852.882028256942</v>
      </c>
      <c r="R4" s="122">
        <f t="shared" si="1"/>
        <v>874.2040789633655</v>
      </c>
      <c r="S4" s="122">
        <f t="shared" si="1"/>
        <v>896.0591809374496</v>
      </c>
      <c r="T4" s="122">
        <f t="shared" si="1"/>
        <v>918.4606604608857</v>
      </c>
      <c r="U4" s="122">
        <f t="shared" si="1"/>
        <v>941.4221769724078</v>
      </c>
      <c r="V4" s="122">
        <f t="shared" si="1"/>
        <v>964.9577313967179</v>
      </c>
      <c r="W4" s="122">
        <f t="shared" si="1"/>
        <v>989.0816746816358</v>
      </c>
      <c r="X4" s="122">
        <f t="shared" si="1"/>
        <v>1013.8087165486767</v>
      </c>
      <c r="Y4" s="122">
        <f t="shared" si="1"/>
        <v>1039.1539344623934</v>
      </c>
      <c r="Z4" s="122">
        <f t="shared" si="1"/>
        <v>1065.1327828239532</v>
      </c>
      <c r="AA4" s="122">
        <f t="shared" si="1"/>
        <v>1091.761102394552</v>
      </c>
      <c r="AB4" s="122">
        <f t="shared" si="1"/>
        <v>1119.0551299544156</v>
      </c>
      <c r="AC4" s="122">
        <f t="shared" si="1"/>
        <v>1147.031508203276</v>
      </c>
      <c r="AD4" s="122">
        <f t="shared" si="1"/>
        <v>1175.7072959083578</v>
      </c>
      <c r="AE4" s="122">
        <f t="shared" si="1"/>
        <v>1205.0999783060665</v>
      </c>
      <c r="AF4" s="122">
        <f t="shared" si="1"/>
        <v>1235.227477763718</v>
      </c>
    </row>
    <row r="5" spans="1:32" ht="12.75">
      <c r="A5" s="83" t="s">
        <v>80</v>
      </c>
      <c r="B5" s="84">
        <f>'Begroting 2002-2003'!B11</f>
        <v>0</v>
      </c>
      <c r="C5" s="84">
        <f>'2004'!B10</f>
        <v>0</v>
      </c>
      <c r="D5" s="122">
        <v>0</v>
      </c>
      <c r="E5" s="182"/>
      <c r="F5" s="122">
        <v>0</v>
      </c>
      <c r="G5" s="122">
        <v>0</v>
      </c>
      <c r="H5" s="122">
        <v>0</v>
      </c>
      <c r="I5" s="122">
        <v>0</v>
      </c>
      <c r="J5" s="122">
        <v>0</v>
      </c>
      <c r="K5" s="122">
        <v>0</v>
      </c>
      <c r="L5" s="122">
        <v>0</v>
      </c>
      <c r="M5" s="122">
        <v>0</v>
      </c>
      <c r="N5" s="122">
        <v>0</v>
      </c>
      <c r="O5" s="122">
        <v>0</v>
      </c>
      <c r="P5" s="122">
        <v>0</v>
      </c>
      <c r="Q5" s="122">
        <v>0</v>
      </c>
      <c r="R5" s="122">
        <v>0</v>
      </c>
      <c r="S5" s="122">
        <v>0</v>
      </c>
      <c r="T5" s="122">
        <v>0</v>
      </c>
      <c r="U5" s="122">
        <v>0</v>
      </c>
      <c r="V5" s="122">
        <v>0</v>
      </c>
      <c r="W5" s="122">
        <v>0</v>
      </c>
      <c r="X5" s="122">
        <v>0</v>
      </c>
      <c r="Y5" s="122">
        <v>0</v>
      </c>
      <c r="Z5" s="122">
        <v>0</v>
      </c>
      <c r="AA5" s="122">
        <v>0</v>
      </c>
      <c r="AB5" s="122">
        <v>0</v>
      </c>
      <c r="AC5" s="122">
        <v>0</v>
      </c>
      <c r="AD5" s="122">
        <v>0</v>
      </c>
      <c r="AE5" s="122">
        <v>0</v>
      </c>
      <c r="AF5" s="122">
        <v>0</v>
      </c>
    </row>
    <row r="6" spans="1:32" ht="25.5">
      <c r="A6" s="83" t="s">
        <v>81</v>
      </c>
      <c r="B6" s="84">
        <f>'Begroting 2002-2003'!B12</f>
        <v>6000</v>
      </c>
      <c r="C6" s="84">
        <f>'2004'!B11</f>
        <v>4612.5</v>
      </c>
      <c r="D6" s="122">
        <f>'2005'!B11</f>
        <v>4727.8125</v>
      </c>
      <c r="E6" s="182">
        <v>100001</v>
      </c>
      <c r="F6" s="122">
        <v>7943</v>
      </c>
      <c r="G6" s="122">
        <f aca="true" t="shared" si="2" ref="G6:AF6">SUM(F6*102.5%)</f>
        <v>8141.574999999999</v>
      </c>
      <c r="H6" s="122">
        <v>4500</v>
      </c>
      <c r="I6" s="122">
        <v>2600</v>
      </c>
      <c r="J6" s="122">
        <f t="shared" si="2"/>
        <v>2664.9999999999995</v>
      </c>
      <c r="K6" s="122">
        <f t="shared" si="2"/>
        <v>2731.624999999999</v>
      </c>
      <c r="L6" s="122">
        <f t="shared" si="2"/>
        <v>2799.9156249999987</v>
      </c>
      <c r="M6" s="122">
        <f t="shared" si="2"/>
        <v>2869.9135156249986</v>
      </c>
      <c r="N6" s="122">
        <f t="shared" si="2"/>
        <v>2941.6613535156234</v>
      </c>
      <c r="O6" s="122">
        <f t="shared" si="2"/>
        <v>3015.2028873535137</v>
      </c>
      <c r="P6" s="122">
        <f t="shared" si="2"/>
        <v>3090.582959537351</v>
      </c>
      <c r="Q6" s="122">
        <f t="shared" si="2"/>
        <v>3167.8475335257845</v>
      </c>
      <c r="R6" s="122">
        <f t="shared" si="2"/>
        <v>3247.0437218639286</v>
      </c>
      <c r="S6" s="122">
        <f t="shared" si="2"/>
        <v>3328.2198149105266</v>
      </c>
      <c r="T6" s="122">
        <f t="shared" si="2"/>
        <v>3411.4253102832895</v>
      </c>
      <c r="U6" s="122">
        <f t="shared" si="2"/>
        <v>3496.7109430403716</v>
      </c>
      <c r="V6" s="122">
        <f t="shared" si="2"/>
        <v>3584.1287166163806</v>
      </c>
      <c r="W6" s="122">
        <f t="shared" si="2"/>
        <v>3673.7319345317896</v>
      </c>
      <c r="X6" s="122">
        <f t="shared" si="2"/>
        <v>3765.575232895084</v>
      </c>
      <c r="Y6" s="122">
        <f t="shared" si="2"/>
        <v>3859.7146137174605</v>
      </c>
      <c r="Z6" s="122">
        <f t="shared" si="2"/>
        <v>3956.2074790603965</v>
      </c>
      <c r="AA6" s="122">
        <f t="shared" si="2"/>
        <v>4055.112666036906</v>
      </c>
      <c r="AB6" s="122">
        <f t="shared" si="2"/>
        <v>4156.490482687828</v>
      </c>
      <c r="AC6" s="122">
        <f t="shared" si="2"/>
        <v>4260.402744755023</v>
      </c>
      <c r="AD6" s="122">
        <f t="shared" si="2"/>
        <v>4366.912813373899</v>
      </c>
      <c r="AE6" s="122">
        <f t="shared" si="2"/>
        <v>4476.085633708246</v>
      </c>
      <c r="AF6" s="122">
        <f t="shared" si="2"/>
        <v>4587.987774550952</v>
      </c>
    </row>
    <row r="7" spans="1:32" ht="38.25">
      <c r="A7" s="83" t="s">
        <v>82</v>
      </c>
      <c r="B7" s="84">
        <f>'Begroting 2002-2003'!B13</f>
        <v>7000</v>
      </c>
      <c r="C7" s="84">
        <f>'2004'!B12</f>
        <v>7174.999999999999</v>
      </c>
      <c r="D7" s="122">
        <f>'2005'!B12</f>
        <v>7354.374999999998</v>
      </c>
      <c r="E7" s="182">
        <v>100003</v>
      </c>
      <c r="F7" s="122">
        <v>4820</v>
      </c>
      <c r="G7" s="122">
        <v>4819</v>
      </c>
      <c r="H7" s="122">
        <f aca="true" t="shared" si="3" ref="H7:AF8">+G7</f>
        <v>4819</v>
      </c>
      <c r="I7" s="122">
        <f>+H7</f>
        <v>4819</v>
      </c>
      <c r="J7" s="122">
        <f t="shared" si="3"/>
        <v>4819</v>
      </c>
      <c r="K7" s="122">
        <f t="shared" si="3"/>
        <v>4819</v>
      </c>
      <c r="L7" s="122">
        <f t="shared" si="3"/>
        <v>4819</v>
      </c>
      <c r="M7" s="122">
        <f t="shared" si="3"/>
        <v>4819</v>
      </c>
      <c r="N7" s="122">
        <f t="shared" si="3"/>
        <v>4819</v>
      </c>
      <c r="O7" s="122">
        <f t="shared" si="3"/>
        <v>4819</v>
      </c>
      <c r="P7" s="122">
        <f t="shared" si="3"/>
        <v>4819</v>
      </c>
      <c r="Q7" s="122">
        <f t="shared" si="3"/>
        <v>4819</v>
      </c>
      <c r="R7" s="122">
        <f t="shared" si="3"/>
        <v>4819</v>
      </c>
      <c r="S7" s="122">
        <f t="shared" si="3"/>
        <v>4819</v>
      </c>
      <c r="T7" s="122">
        <f t="shared" si="3"/>
        <v>4819</v>
      </c>
      <c r="U7" s="122">
        <f t="shared" si="3"/>
        <v>4819</v>
      </c>
      <c r="V7" s="122">
        <f t="shared" si="3"/>
        <v>4819</v>
      </c>
      <c r="W7" s="122">
        <f t="shared" si="3"/>
        <v>4819</v>
      </c>
      <c r="X7" s="122">
        <f t="shared" si="3"/>
        <v>4819</v>
      </c>
      <c r="Y7" s="122">
        <f t="shared" si="3"/>
        <v>4819</v>
      </c>
      <c r="Z7" s="122">
        <f t="shared" si="3"/>
        <v>4819</v>
      </c>
      <c r="AA7" s="122">
        <f t="shared" si="3"/>
        <v>4819</v>
      </c>
      <c r="AB7" s="122">
        <f t="shared" si="3"/>
        <v>4819</v>
      </c>
      <c r="AC7" s="122">
        <f t="shared" si="3"/>
        <v>4819</v>
      </c>
      <c r="AD7" s="122">
        <f t="shared" si="3"/>
        <v>4819</v>
      </c>
      <c r="AE7" s="122">
        <f t="shared" si="3"/>
        <v>4819</v>
      </c>
      <c r="AF7" s="122">
        <f t="shared" si="3"/>
        <v>4819</v>
      </c>
    </row>
    <row r="8" spans="1:32" ht="25.5">
      <c r="A8" s="85" t="s">
        <v>97</v>
      </c>
      <c r="B8" s="84">
        <f>'Begroting 2002-2003'!B21</f>
        <v>5000</v>
      </c>
      <c r="C8" s="84">
        <f>'2004'!B22</f>
        <v>5125</v>
      </c>
      <c r="D8" s="122">
        <f>'2005'!B22</f>
        <v>5253.124999999999</v>
      </c>
      <c r="E8" s="182">
        <v>100004</v>
      </c>
      <c r="F8" s="122">
        <v>8825</v>
      </c>
      <c r="G8" s="122">
        <f>+F8*102.5%</f>
        <v>9045.625</v>
      </c>
      <c r="H8" s="122">
        <f>5500*1.19</f>
        <v>6545</v>
      </c>
      <c r="I8" s="122">
        <f>+H8</f>
        <v>6545</v>
      </c>
      <c r="J8" s="122">
        <f>+I8</f>
        <v>6545</v>
      </c>
      <c r="K8" s="122">
        <f>+J8</f>
        <v>6545</v>
      </c>
      <c r="L8" s="122">
        <f>+K8*102.5%</f>
        <v>6708.624999999999</v>
      </c>
      <c r="M8" s="122">
        <f>+L8</f>
        <v>6708.624999999999</v>
      </c>
      <c r="N8" s="122">
        <f>+M8</f>
        <v>6708.624999999999</v>
      </c>
      <c r="O8" s="122">
        <f>+N8</f>
        <v>6708.624999999999</v>
      </c>
      <c r="P8" s="122">
        <f>+O8*102.5%</f>
        <v>6876.340624999999</v>
      </c>
      <c r="Q8" s="122">
        <f>+P8</f>
        <v>6876.340624999999</v>
      </c>
      <c r="R8" s="122">
        <f>+Q8</f>
        <v>6876.340624999999</v>
      </c>
      <c r="S8" s="122">
        <f>+R8</f>
        <v>6876.340624999999</v>
      </c>
      <c r="T8" s="122">
        <f>+S8*102.5%</f>
        <v>7048.249140624998</v>
      </c>
      <c r="U8" s="122">
        <f>+T8</f>
        <v>7048.249140624998</v>
      </c>
      <c r="V8" s="122">
        <f>+U8</f>
        <v>7048.249140624998</v>
      </c>
      <c r="W8" s="122">
        <f>+V8</f>
        <v>7048.249140624998</v>
      </c>
      <c r="X8" s="122">
        <f>+W8*102.5%</f>
        <v>7224.455369140623</v>
      </c>
      <c r="Y8" s="122">
        <f>+X8</f>
        <v>7224.455369140623</v>
      </c>
      <c r="Z8" s="122">
        <f t="shared" si="3"/>
        <v>7224.455369140623</v>
      </c>
      <c r="AA8" s="122">
        <f t="shared" si="3"/>
        <v>7224.455369140623</v>
      </c>
      <c r="AB8" s="122">
        <f>+AA8*102.5%</f>
        <v>7405.066753369138</v>
      </c>
      <c r="AC8" s="122">
        <f>+AB8</f>
        <v>7405.066753369138</v>
      </c>
      <c r="AD8" s="122">
        <f t="shared" si="3"/>
        <v>7405.066753369138</v>
      </c>
      <c r="AE8" s="122">
        <f t="shared" si="3"/>
        <v>7405.066753369138</v>
      </c>
      <c r="AF8" s="122">
        <f>+AE8*102.5%</f>
        <v>7590.193422203365</v>
      </c>
    </row>
    <row r="9" spans="1:32" ht="12.75">
      <c r="A9" s="83" t="s">
        <v>3</v>
      </c>
      <c r="B9" s="84">
        <f>'Begroting 2002-2003'!B15</f>
        <v>1500</v>
      </c>
      <c r="C9" s="84">
        <f>'2004'!B14</f>
        <v>1537.4999999999998</v>
      </c>
      <c r="D9" s="122">
        <f>'2005'!B14</f>
        <v>3100</v>
      </c>
      <c r="E9" s="182">
        <v>100002</v>
      </c>
      <c r="F9" s="122">
        <f>5000*102.5%</f>
        <v>5125</v>
      </c>
      <c r="G9" s="122">
        <f>+F9*102.5%</f>
        <v>5253.124999999999</v>
      </c>
      <c r="H9" s="122">
        <f>5000*102.5%</f>
        <v>5125</v>
      </c>
      <c r="I9" s="122">
        <v>4500</v>
      </c>
      <c r="J9" s="122">
        <f aca="true" t="shared" si="4" ref="J9:AF9">+I9*102.5%</f>
        <v>4612.5</v>
      </c>
      <c r="K9" s="122">
        <f t="shared" si="4"/>
        <v>4727.8125</v>
      </c>
      <c r="L9" s="122">
        <f t="shared" si="4"/>
        <v>4846.0078125</v>
      </c>
      <c r="M9" s="122">
        <f t="shared" si="4"/>
        <v>4967.1580078125</v>
      </c>
      <c r="N9" s="122">
        <f t="shared" si="4"/>
        <v>5091.3369580078115</v>
      </c>
      <c r="O9" s="122">
        <f t="shared" si="4"/>
        <v>5218.620381958006</v>
      </c>
      <c r="P9" s="122">
        <f t="shared" si="4"/>
        <v>5349.085891506956</v>
      </c>
      <c r="Q9" s="122">
        <f t="shared" si="4"/>
        <v>5482.813038794629</v>
      </c>
      <c r="R9" s="122">
        <f t="shared" si="4"/>
        <v>5619.883364764494</v>
      </c>
      <c r="S9" s="122">
        <f t="shared" si="4"/>
        <v>5760.380448883606</v>
      </c>
      <c r="T9" s="122">
        <f t="shared" si="4"/>
        <v>5904.3899601056955</v>
      </c>
      <c r="U9" s="122">
        <f t="shared" si="4"/>
        <v>6051.999709108338</v>
      </c>
      <c r="V9" s="122">
        <f t="shared" si="4"/>
        <v>6203.299701836046</v>
      </c>
      <c r="W9" s="122">
        <f t="shared" si="4"/>
        <v>6358.382194381947</v>
      </c>
      <c r="X9" s="122">
        <f t="shared" si="4"/>
        <v>6517.341749241495</v>
      </c>
      <c r="Y9" s="122">
        <f t="shared" si="4"/>
        <v>6680.275292972531</v>
      </c>
      <c r="Z9" s="122">
        <f t="shared" si="4"/>
        <v>6847.282175296844</v>
      </c>
      <c r="AA9" s="122">
        <f t="shared" si="4"/>
        <v>7018.4642296792645</v>
      </c>
      <c r="AB9" s="122">
        <f t="shared" si="4"/>
        <v>7193.925835421245</v>
      </c>
      <c r="AC9" s="122">
        <f t="shared" si="4"/>
        <v>7373.773981306776</v>
      </c>
      <c r="AD9" s="122">
        <f t="shared" si="4"/>
        <v>7558.118330839445</v>
      </c>
      <c r="AE9" s="122">
        <f t="shared" si="4"/>
        <v>7747.07128911043</v>
      </c>
      <c r="AF9" s="122">
        <f t="shared" si="4"/>
        <v>7940.74807133819</v>
      </c>
    </row>
    <row r="10" spans="1:32" s="76" customFormat="1" ht="15.75">
      <c r="A10" s="92"/>
      <c r="B10" s="81"/>
      <c r="C10" s="82"/>
      <c r="D10" s="124"/>
      <c r="E10" s="183"/>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row>
    <row r="11" spans="1:32" s="76" customFormat="1" ht="15.75">
      <c r="A11" s="92"/>
      <c r="B11" s="81"/>
      <c r="C11" s="82"/>
      <c r="D11" s="123">
        <f>SUM(D4:D10)</f>
        <v>22090.046874999996</v>
      </c>
      <c r="E11" s="181"/>
      <c r="F11" s="123">
        <f aca="true" t="shared" si="5" ref="F11:AF11">SUM(F4:F10)</f>
        <v>28731</v>
      </c>
      <c r="G11" s="123">
        <f t="shared" si="5"/>
        <v>29327.774999999998</v>
      </c>
      <c r="H11" s="123">
        <f t="shared" si="5"/>
        <v>22189</v>
      </c>
      <c r="I11" s="123">
        <f t="shared" si="5"/>
        <v>19164</v>
      </c>
      <c r="J11" s="123">
        <f t="shared" si="5"/>
        <v>19359</v>
      </c>
      <c r="K11" s="123">
        <f t="shared" si="5"/>
        <v>19558.875</v>
      </c>
      <c r="L11" s="123">
        <f t="shared" si="5"/>
        <v>19927.371874999997</v>
      </c>
      <c r="M11" s="123">
        <f t="shared" si="5"/>
        <v>20137.365546874997</v>
      </c>
      <c r="N11" s="123">
        <f t="shared" si="5"/>
        <v>20352.60906054687</v>
      </c>
      <c r="O11" s="123">
        <f t="shared" si="5"/>
        <v>20573.233662060542</v>
      </c>
      <c r="P11" s="123">
        <f t="shared" si="5"/>
        <v>20967.089503612053</v>
      </c>
      <c r="Q11" s="123">
        <f t="shared" si="5"/>
        <v>21198.883225577352</v>
      </c>
      <c r="R11" s="123">
        <f t="shared" si="5"/>
        <v>21436.471790591786</v>
      </c>
      <c r="S11" s="123">
        <f t="shared" si="5"/>
        <v>21680.00006973158</v>
      </c>
      <c r="T11" s="123">
        <f t="shared" si="5"/>
        <v>22101.52507147487</v>
      </c>
      <c r="U11" s="123">
        <f t="shared" si="5"/>
        <v>22357.381969746115</v>
      </c>
      <c r="V11" s="123">
        <f t="shared" si="5"/>
        <v>22619.635290474143</v>
      </c>
      <c r="W11" s="123">
        <f t="shared" si="5"/>
        <v>22888.44494422037</v>
      </c>
      <c r="X11" s="123">
        <f t="shared" si="5"/>
        <v>23340.181067825877</v>
      </c>
      <c r="Y11" s="123">
        <f t="shared" si="5"/>
        <v>23622.599210293007</v>
      </c>
      <c r="Z11" s="123">
        <f t="shared" si="5"/>
        <v>23912.077806321817</v>
      </c>
      <c r="AA11" s="123">
        <f t="shared" si="5"/>
        <v>24208.793367251346</v>
      </c>
      <c r="AB11" s="123">
        <f t="shared" si="5"/>
        <v>24693.538201432624</v>
      </c>
      <c r="AC11" s="123">
        <f t="shared" si="5"/>
        <v>25005.274987634213</v>
      </c>
      <c r="AD11" s="123">
        <f t="shared" si="5"/>
        <v>25324.805193490836</v>
      </c>
      <c r="AE11" s="123">
        <f t="shared" si="5"/>
        <v>25652.32365449388</v>
      </c>
      <c r="AF11" s="123">
        <f t="shared" si="5"/>
        <v>26173.156745856228</v>
      </c>
    </row>
    <row r="12" spans="1:32" ht="12.75">
      <c r="A12" s="89" t="s">
        <v>14</v>
      </c>
      <c r="D12" s="122"/>
      <c r="E12" s="18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row>
    <row r="13" spans="1:32" ht="12.75">
      <c r="A13" s="85" t="s">
        <v>8</v>
      </c>
      <c r="B13" s="84">
        <f>'Begroting 2002-2003'!B17</f>
        <v>0</v>
      </c>
      <c r="C13" s="84">
        <f>'2004'!B16</f>
        <v>0</v>
      </c>
      <c r="D13" s="122">
        <f>'2005'!B16</f>
        <v>0</v>
      </c>
      <c r="E13" s="182">
        <v>100031</v>
      </c>
      <c r="F13" s="122">
        <v>0</v>
      </c>
      <c r="G13" s="122">
        <v>0</v>
      </c>
      <c r="H13" s="122">
        <v>0</v>
      </c>
      <c r="I13" s="122">
        <v>0</v>
      </c>
      <c r="J13" s="122">
        <v>0</v>
      </c>
      <c r="K13" s="122">
        <v>0</v>
      </c>
      <c r="L13" s="122">
        <v>0</v>
      </c>
      <c r="M13" s="122">
        <v>0</v>
      </c>
      <c r="N13" s="122">
        <v>0</v>
      </c>
      <c r="O13" s="122">
        <v>0</v>
      </c>
      <c r="P13" s="122">
        <v>0</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row>
    <row r="14" spans="1:32" ht="25.5">
      <c r="A14" s="85" t="s">
        <v>29</v>
      </c>
      <c r="B14" s="84">
        <f>'Begroting 2002-2003'!B18</f>
        <v>2100</v>
      </c>
      <c r="C14" s="84">
        <f>'2004'!B17</f>
        <v>0</v>
      </c>
      <c r="D14" s="122">
        <f>'2005'!B17</f>
        <v>0</v>
      </c>
      <c r="E14" s="182"/>
      <c r="F14" s="122">
        <v>0</v>
      </c>
      <c r="G14" s="122">
        <v>0</v>
      </c>
      <c r="H14" s="122">
        <v>0</v>
      </c>
      <c r="I14" s="122">
        <v>0</v>
      </c>
      <c r="J14" s="122">
        <v>0</v>
      </c>
      <c r="K14" s="122">
        <v>0</v>
      </c>
      <c r="L14" s="122">
        <v>0</v>
      </c>
      <c r="M14" s="122">
        <v>0</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row>
    <row r="15" spans="1:32" ht="25.5">
      <c r="A15" s="85" t="s">
        <v>30</v>
      </c>
      <c r="B15" s="84">
        <f>'Begroting 2002-2003'!B20</f>
        <v>8463.288</v>
      </c>
      <c r="C15" s="84">
        <f>'2004'!B19</f>
        <v>0</v>
      </c>
      <c r="D15" s="122">
        <f>'2005'!B19</f>
        <v>0</v>
      </c>
      <c r="E15" s="182"/>
      <c r="F15" s="122">
        <v>0</v>
      </c>
      <c r="G15" s="122">
        <v>0</v>
      </c>
      <c r="H15" s="122">
        <v>0</v>
      </c>
      <c r="I15" s="122">
        <v>0</v>
      </c>
      <c r="J15" s="122">
        <v>0</v>
      </c>
      <c r="K15" s="122">
        <v>0</v>
      </c>
      <c r="L15" s="122">
        <v>0</v>
      </c>
      <c r="M15" s="122">
        <v>0</v>
      </c>
      <c r="N15" s="122">
        <v>0</v>
      </c>
      <c r="O15" s="122">
        <v>0</v>
      </c>
      <c r="P15" s="122">
        <v>0</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row>
    <row r="16" spans="1:32" ht="12.75">
      <c r="A16" s="85" t="s">
        <v>95</v>
      </c>
      <c r="C16" s="84">
        <f>'2004'!B20</f>
        <v>3225</v>
      </c>
      <c r="D16" s="122">
        <f>'2005'!B20</f>
        <v>3883.35</v>
      </c>
      <c r="E16" s="182">
        <v>100010</v>
      </c>
      <c r="F16" s="122">
        <v>1000</v>
      </c>
      <c r="G16" s="122">
        <f>+F16*102.5%</f>
        <v>1025</v>
      </c>
      <c r="H16" s="122">
        <f aca="true" t="shared" si="6" ref="H16:AF16">+G16*102.5%</f>
        <v>1050.625</v>
      </c>
      <c r="I16" s="122">
        <f>+H16*102.5%</f>
        <v>1076.890625</v>
      </c>
      <c r="J16" s="122">
        <f t="shared" si="6"/>
        <v>1103.812890625</v>
      </c>
      <c r="K16" s="122">
        <f t="shared" si="6"/>
        <v>1131.4082128906248</v>
      </c>
      <c r="L16" s="122">
        <f t="shared" si="6"/>
        <v>1159.6934182128903</v>
      </c>
      <c r="M16" s="122">
        <f t="shared" si="6"/>
        <v>1188.6857536682123</v>
      </c>
      <c r="N16" s="122">
        <f t="shared" si="6"/>
        <v>1218.4028975099175</v>
      </c>
      <c r="O16" s="122">
        <f t="shared" si="6"/>
        <v>1248.8629699476653</v>
      </c>
      <c r="P16" s="122">
        <f t="shared" si="6"/>
        <v>1280.0845441963568</v>
      </c>
      <c r="Q16" s="122">
        <f t="shared" si="6"/>
        <v>1312.0866578012656</v>
      </c>
      <c r="R16" s="122">
        <f t="shared" si="6"/>
        <v>1344.8888242462972</v>
      </c>
      <c r="S16" s="122">
        <f t="shared" si="6"/>
        <v>1378.5110448524545</v>
      </c>
      <c r="T16" s="122">
        <f t="shared" si="6"/>
        <v>1412.9738209737657</v>
      </c>
      <c r="U16" s="122">
        <f t="shared" si="6"/>
        <v>1448.2981664981096</v>
      </c>
      <c r="V16" s="122">
        <f t="shared" si="6"/>
        <v>1484.5056206605623</v>
      </c>
      <c r="W16" s="122">
        <f t="shared" si="6"/>
        <v>1521.6182611770762</v>
      </c>
      <c r="X16" s="122">
        <f t="shared" si="6"/>
        <v>1559.658717706503</v>
      </c>
      <c r="Y16" s="122">
        <f t="shared" si="6"/>
        <v>1598.6501856491655</v>
      </c>
      <c r="Z16" s="122">
        <f t="shared" si="6"/>
        <v>1638.6164402903944</v>
      </c>
      <c r="AA16" s="122">
        <f t="shared" si="6"/>
        <v>1679.581851297654</v>
      </c>
      <c r="AB16" s="122">
        <f t="shared" si="6"/>
        <v>1721.5713975800952</v>
      </c>
      <c r="AC16" s="122">
        <f t="shared" si="6"/>
        <v>1764.6106825195975</v>
      </c>
      <c r="AD16" s="122">
        <f t="shared" si="6"/>
        <v>1808.7259495825872</v>
      </c>
      <c r="AE16" s="122">
        <f t="shared" si="6"/>
        <v>1853.9440983221516</v>
      </c>
      <c r="AF16" s="122">
        <f t="shared" si="6"/>
        <v>1900.2927007802052</v>
      </c>
    </row>
    <row r="17" spans="1:32" ht="12.75">
      <c r="A17" s="85" t="s">
        <v>96</v>
      </c>
      <c r="C17" s="84">
        <f>'2004'!B21</f>
        <v>925</v>
      </c>
      <c r="D17" s="122">
        <f>'2005'!B21</f>
        <v>1078.615</v>
      </c>
      <c r="E17" s="182">
        <v>100022</v>
      </c>
      <c r="F17" s="122">
        <v>1500</v>
      </c>
      <c r="G17" s="122">
        <f>+F17*102.5%</f>
        <v>1537.4999999999998</v>
      </c>
      <c r="H17" s="122">
        <f aca="true" t="shared" si="7" ref="H17:AF17">+G17*102.5%</f>
        <v>1575.9374999999995</v>
      </c>
      <c r="I17" s="122">
        <f>+H17*102.5%</f>
        <v>1615.3359374999993</v>
      </c>
      <c r="J17" s="122">
        <f t="shared" si="7"/>
        <v>1655.7193359374992</v>
      </c>
      <c r="K17" s="122">
        <f t="shared" si="7"/>
        <v>1697.1123193359365</v>
      </c>
      <c r="L17" s="122">
        <f t="shared" si="7"/>
        <v>1739.5401273193347</v>
      </c>
      <c r="M17" s="122">
        <f t="shared" si="7"/>
        <v>1783.028630502318</v>
      </c>
      <c r="N17" s="122">
        <f t="shared" si="7"/>
        <v>1827.6043462648759</v>
      </c>
      <c r="O17" s="122">
        <f t="shared" si="7"/>
        <v>1873.2944549214976</v>
      </c>
      <c r="P17" s="122">
        <f t="shared" si="7"/>
        <v>1920.1268162945348</v>
      </c>
      <c r="Q17" s="122">
        <f t="shared" si="7"/>
        <v>1968.129986701898</v>
      </c>
      <c r="R17" s="122">
        <f t="shared" si="7"/>
        <v>2017.333236369445</v>
      </c>
      <c r="S17" s="122">
        <f t="shared" si="7"/>
        <v>2067.766567278681</v>
      </c>
      <c r="T17" s="122">
        <f t="shared" si="7"/>
        <v>2119.460731460648</v>
      </c>
      <c r="U17" s="122">
        <f t="shared" si="7"/>
        <v>2172.447249747164</v>
      </c>
      <c r="V17" s="122">
        <f t="shared" si="7"/>
        <v>2226.758430990843</v>
      </c>
      <c r="W17" s="122">
        <f t="shared" si="7"/>
        <v>2282.4273917656137</v>
      </c>
      <c r="X17" s="122">
        <f t="shared" si="7"/>
        <v>2339.488076559754</v>
      </c>
      <c r="Y17" s="122">
        <f t="shared" si="7"/>
        <v>2397.9752784737475</v>
      </c>
      <c r="Z17" s="122">
        <f t="shared" si="7"/>
        <v>2457.924660435591</v>
      </c>
      <c r="AA17" s="122">
        <f t="shared" si="7"/>
        <v>2519.3727769464804</v>
      </c>
      <c r="AB17" s="122">
        <f t="shared" si="7"/>
        <v>2582.3570963701422</v>
      </c>
      <c r="AC17" s="122">
        <f t="shared" si="7"/>
        <v>2646.9160237793953</v>
      </c>
      <c r="AD17" s="122">
        <f t="shared" si="7"/>
        <v>2713.08892437388</v>
      </c>
      <c r="AE17" s="122">
        <f t="shared" si="7"/>
        <v>2780.916147483227</v>
      </c>
      <c r="AF17" s="122">
        <f t="shared" si="7"/>
        <v>2850.4390511703077</v>
      </c>
    </row>
    <row r="18" spans="1:32" ht="12.75">
      <c r="A18" s="85" t="s">
        <v>98</v>
      </c>
      <c r="B18" s="84">
        <f>'Begroting 2002-2003'!B22</f>
        <v>0</v>
      </c>
      <c r="C18" s="84">
        <f>'2004'!B23</f>
        <v>0</v>
      </c>
      <c r="D18" s="122">
        <f>'2005'!B23</f>
        <v>0</v>
      </c>
      <c r="E18" s="182"/>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row>
    <row r="19" spans="1:32" ht="12.75">
      <c r="A19" s="85" t="s">
        <v>99</v>
      </c>
      <c r="B19" s="84">
        <f>'Begroting 2002-2003'!B23</f>
        <v>0</v>
      </c>
      <c r="C19" s="84">
        <f>'2004'!B24</f>
        <v>0</v>
      </c>
      <c r="D19" s="122">
        <f>'2005'!B24</f>
        <v>0</v>
      </c>
      <c r="E19" s="182">
        <v>100033</v>
      </c>
      <c r="F19" s="122">
        <f>+'agio berekening'!I14</f>
        <v>6712.720000000001</v>
      </c>
      <c r="G19" s="122">
        <f>+'agio berekening'!J14</f>
        <v>6712.720000000001</v>
      </c>
      <c r="H19" s="122">
        <f>+'agio berekening'!K14</f>
        <v>6712.720000000001</v>
      </c>
      <c r="I19" s="122">
        <f>+'agio berekening'!L14</f>
        <v>5992.42</v>
      </c>
      <c r="J19" s="122">
        <f>+'agio berekening'!M14</f>
        <v>4969.72</v>
      </c>
      <c r="K19" s="122">
        <f>+'agio berekening'!N14</f>
        <v>4103.05</v>
      </c>
      <c r="L19" s="122">
        <f>+'agio berekening'!O14</f>
        <v>3071.9799999999996</v>
      </c>
      <c r="M19" s="122">
        <f>+'agio berekening'!P14</f>
        <v>830.7</v>
      </c>
      <c r="N19" s="122">
        <f>+'agio berekening'!Q14</f>
        <v>79.9</v>
      </c>
      <c r="O19" s="122">
        <v>0</v>
      </c>
      <c r="P19" s="122">
        <v>0</v>
      </c>
      <c r="Q19" s="122">
        <v>0</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row>
    <row r="20" spans="1:32" s="76" customFormat="1" ht="15.75">
      <c r="A20" s="92"/>
      <c r="B20" s="81"/>
      <c r="C20" s="82"/>
      <c r="D20" s="124"/>
      <c r="E20" s="183"/>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row>
    <row r="21" spans="1:32" s="76" customFormat="1" ht="15.75">
      <c r="A21" s="92"/>
      <c r="B21" s="81"/>
      <c r="C21" s="82"/>
      <c r="D21" s="123">
        <f>SUM(D13:D20)</f>
        <v>4961.965</v>
      </c>
      <c r="E21" s="181"/>
      <c r="F21" s="123">
        <f aca="true" t="shared" si="8" ref="F21:AF21">SUM(F13:F20)</f>
        <v>9212.720000000001</v>
      </c>
      <c r="G21" s="123">
        <f t="shared" si="8"/>
        <v>9275.220000000001</v>
      </c>
      <c r="H21" s="123">
        <f t="shared" si="8"/>
        <v>9339.282500000001</v>
      </c>
      <c r="I21" s="123">
        <f t="shared" si="8"/>
        <v>8684.646562499998</v>
      </c>
      <c r="J21" s="123">
        <f t="shared" si="8"/>
        <v>7729.252226562499</v>
      </c>
      <c r="K21" s="123">
        <f t="shared" si="8"/>
        <v>6931.570532226561</v>
      </c>
      <c r="L21" s="123">
        <f t="shared" si="8"/>
        <v>5971.213545532224</v>
      </c>
      <c r="M21" s="123">
        <f t="shared" si="8"/>
        <v>3802.41438417053</v>
      </c>
      <c r="N21" s="123">
        <f t="shared" si="8"/>
        <v>3125.907243774793</v>
      </c>
      <c r="O21" s="123">
        <f t="shared" si="8"/>
        <v>3122.157424869163</v>
      </c>
      <c r="P21" s="123">
        <f t="shared" si="8"/>
        <v>3200.211360490892</v>
      </c>
      <c r="Q21" s="123">
        <f t="shared" si="8"/>
        <v>3280.2166445031635</v>
      </c>
      <c r="R21" s="123">
        <f t="shared" si="8"/>
        <v>3362.2220606157425</v>
      </c>
      <c r="S21" s="123">
        <f t="shared" si="8"/>
        <v>3446.2776121311354</v>
      </c>
      <c r="T21" s="123">
        <f t="shared" si="8"/>
        <v>3532.4345524344135</v>
      </c>
      <c r="U21" s="123">
        <f t="shared" si="8"/>
        <v>3620.745416245273</v>
      </c>
      <c r="V21" s="123">
        <f t="shared" si="8"/>
        <v>3711.264051651405</v>
      </c>
      <c r="W21" s="123">
        <f t="shared" si="8"/>
        <v>3804.04565294269</v>
      </c>
      <c r="X21" s="123">
        <f t="shared" si="8"/>
        <v>3899.146794266257</v>
      </c>
      <c r="Y21" s="123">
        <f t="shared" si="8"/>
        <v>3996.625464122913</v>
      </c>
      <c r="Z21" s="123">
        <f t="shared" si="8"/>
        <v>4096.541100725985</v>
      </c>
      <c r="AA21" s="123">
        <f t="shared" si="8"/>
        <v>4198.954628244134</v>
      </c>
      <c r="AB21" s="123">
        <f t="shared" si="8"/>
        <v>4303.928493950238</v>
      </c>
      <c r="AC21" s="123">
        <f t="shared" si="8"/>
        <v>4411.526706298993</v>
      </c>
      <c r="AD21" s="123">
        <f t="shared" si="8"/>
        <v>4521.814873956468</v>
      </c>
      <c r="AE21" s="123">
        <f t="shared" si="8"/>
        <v>4634.860245805379</v>
      </c>
      <c r="AF21" s="123">
        <f t="shared" si="8"/>
        <v>4750.731751950513</v>
      </c>
    </row>
    <row r="22" spans="1:32" s="76" customFormat="1" ht="15.75">
      <c r="A22" s="92"/>
      <c r="B22" s="81"/>
      <c r="C22" s="82"/>
      <c r="D22" s="123"/>
      <c r="E22" s="181"/>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row>
    <row r="23" spans="1:32" ht="25.5">
      <c r="A23" s="83" t="s">
        <v>79</v>
      </c>
      <c r="B23" s="84">
        <f>'Begroting 2002-2003'!B5</f>
        <v>2046683.2517436505</v>
      </c>
      <c r="C23" s="84">
        <f>'2004'!B5</f>
        <v>536940</v>
      </c>
      <c r="D23" s="122">
        <f>'2005'!B5</f>
        <v>438900</v>
      </c>
      <c r="E23" s="182"/>
      <c r="F23" s="126" t="s">
        <v>41</v>
      </c>
      <c r="G23" s="126" t="s">
        <v>41</v>
      </c>
      <c r="H23" s="126" t="s">
        <v>41</v>
      </c>
      <c r="I23" s="126" t="s">
        <v>41</v>
      </c>
      <c r="J23" s="126" t="s">
        <v>41</v>
      </c>
      <c r="K23" s="126" t="s">
        <v>41</v>
      </c>
      <c r="L23" s="126" t="s">
        <v>41</v>
      </c>
      <c r="M23" s="126" t="s">
        <v>41</v>
      </c>
      <c r="N23" s="126" t="s">
        <v>41</v>
      </c>
      <c r="O23" s="126" t="s">
        <v>41</v>
      </c>
      <c r="P23" s="126" t="s">
        <v>41</v>
      </c>
      <c r="Q23" s="126" t="s">
        <v>41</v>
      </c>
      <c r="R23" s="126" t="s">
        <v>41</v>
      </c>
      <c r="S23" s="126" t="s">
        <v>41</v>
      </c>
      <c r="T23" s="126" t="s">
        <v>41</v>
      </c>
      <c r="U23" s="126" t="s">
        <v>41</v>
      </c>
      <c r="V23" s="126" t="s">
        <v>41</v>
      </c>
      <c r="W23" s="126" t="s">
        <v>41</v>
      </c>
      <c r="X23" s="126" t="s">
        <v>41</v>
      </c>
      <c r="Y23" s="126" t="s">
        <v>41</v>
      </c>
      <c r="Z23" s="126" t="s">
        <v>41</v>
      </c>
      <c r="AA23" s="126" t="s">
        <v>41</v>
      </c>
      <c r="AB23" s="126" t="s">
        <v>41</v>
      </c>
      <c r="AC23" s="126" t="s">
        <v>41</v>
      </c>
      <c r="AD23" s="126" t="s">
        <v>41</v>
      </c>
      <c r="AE23" s="126" t="s">
        <v>41</v>
      </c>
      <c r="AF23" s="126" t="s">
        <v>41</v>
      </c>
    </row>
    <row r="24" spans="1:32" ht="38.25">
      <c r="A24" s="83" t="s">
        <v>146</v>
      </c>
      <c r="B24" s="84">
        <f>'Begroting 2002-2003'!B8</f>
        <v>60675.8952</v>
      </c>
      <c r="C24" s="84">
        <f>'2004'!B7</f>
        <v>102794.87083534872</v>
      </c>
      <c r="D24" s="122">
        <f>'2005'!B7</f>
        <v>128607.20042461736</v>
      </c>
      <c r="E24" s="182">
        <v>100040</v>
      </c>
      <c r="F24" s="122">
        <f>+doelvermogen!G8</f>
        <v>96760.70075822607</v>
      </c>
      <c r="G24" s="122">
        <f>+doelvermogen!G9</f>
        <v>101598.73579613738</v>
      </c>
      <c r="H24" s="122">
        <f>+doelvermogen!G10</f>
        <v>106678.67258594425</v>
      </c>
      <c r="I24" s="122">
        <f>+doelvermogen!G11</f>
        <v>112012.60621524147</v>
      </c>
      <c r="J24" s="122">
        <f>+doelvermogen!G12</f>
        <v>117613.23652600353</v>
      </c>
      <c r="K24" s="122">
        <f>+doelvermogen!G13</f>
        <v>123493.89835230369</v>
      </c>
      <c r="L24" s="122">
        <f>+doelvermogen!G14</f>
        <v>129668.59326991889</v>
      </c>
      <c r="M24" s="122">
        <f>+doelvermogen!G15</f>
        <v>136152.02293341482</v>
      </c>
      <c r="N24" s="122">
        <f>+doelvermogen!G16</f>
        <v>142959.62408008557</v>
      </c>
      <c r="O24" s="122">
        <f>+doelvermogen!G17</f>
        <v>150107.60528408983</v>
      </c>
      <c r="P24" s="122">
        <f>+doelvermogen!G18</f>
        <v>157612.98554829432</v>
      </c>
      <c r="Q24" s="122">
        <f>+doelvermogen!G19</f>
        <v>165493.63482570904</v>
      </c>
      <c r="R24" s="122">
        <f>+doelvermogen!G20</f>
        <v>173768.3165669945</v>
      </c>
      <c r="S24" s="122">
        <f>+doelvermogen!G21</f>
        <v>182456.73239534424</v>
      </c>
      <c r="T24" s="122">
        <f>+doelvermogen!G22</f>
        <v>191579.56901511142</v>
      </c>
      <c r="U24" s="122">
        <f>+doelvermogen!G23</f>
        <v>201158.547465867</v>
      </c>
      <c r="V24" s="122">
        <f>+doelvermogen!G24</f>
        <v>211216.47483916036</v>
      </c>
      <c r="W24" s="122">
        <f>+doelvermogen!G25</f>
        <v>221777.29858111838</v>
      </c>
      <c r="X24" s="122">
        <f>+doelvermogen!G26</f>
        <v>232866.16351017432</v>
      </c>
      <c r="Y24" s="122">
        <f>+doelvermogen!G27</f>
        <v>244509.47168568303</v>
      </c>
      <c r="Z24" s="122">
        <f>+doelvermogen!G28</f>
        <v>256734.9452699672</v>
      </c>
      <c r="AA24" s="122">
        <f>+doelvermogen!G29</f>
        <v>269571.6925334655</v>
      </c>
      <c r="AB24" s="122">
        <f>+doelvermogen!G30</f>
        <v>283050.2771601388</v>
      </c>
      <c r="AC24" s="122">
        <f>+doelvermogen!G31</f>
        <v>297202.7910181458</v>
      </c>
      <c r="AD24" s="122">
        <f>+doelvermogen!G32</f>
        <v>312062.93056905305</v>
      </c>
      <c r="AE24" s="122">
        <f>+doelvermogen!G33</f>
        <v>327666.0770975057</v>
      </c>
      <c r="AF24" s="122">
        <f>+doelvermogen!G34</f>
        <v>344049.38095238095</v>
      </c>
    </row>
    <row r="25" spans="1:32" s="76" customFormat="1" ht="25.5">
      <c r="A25" s="83" t="s">
        <v>123</v>
      </c>
      <c r="B25" s="81"/>
      <c r="C25" s="82"/>
      <c r="D25" s="123"/>
      <c r="E25" s="185">
        <v>100046</v>
      </c>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row>
    <row r="26" spans="1:32" s="76" customFormat="1" ht="12.75">
      <c r="A26" s="83" t="s">
        <v>124</v>
      </c>
      <c r="B26" s="81"/>
      <c r="C26" s="82"/>
      <c r="D26" s="123"/>
      <c r="E26" s="185">
        <v>100045</v>
      </c>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1:32" s="76" customFormat="1" ht="38.25">
      <c r="A27" s="4" t="s">
        <v>13</v>
      </c>
      <c r="B27" s="7">
        <v>0</v>
      </c>
      <c r="C27" s="82"/>
      <c r="D27" s="123"/>
      <c r="E27" s="181"/>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1:32" s="76" customFormat="1" ht="12.75">
      <c r="A28" s="83"/>
      <c r="B28" s="81"/>
      <c r="C28" s="82"/>
      <c r="D28" s="123"/>
      <c r="E28" s="181"/>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row>
    <row r="29" spans="1:32" s="76" customFormat="1" ht="15.75">
      <c r="A29" s="92"/>
      <c r="B29" s="81"/>
      <c r="C29" s="82"/>
      <c r="D29" s="124"/>
      <c r="E29" s="183"/>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row>
    <row r="30" spans="1:32" s="76" customFormat="1" ht="15.75">
      <c r="A30" s="92"/>
      <c r="B30" s="81"/>
      <c r="C30" s="82"/>
      <c r="D30" s="123">
        <f>SUM(D23:D29)</f>
        <v>567507.2004246174</v>
      </c>
      <c r="E30" s="181"/>
      <c r="F30" s="123">
        <f aca="true" t="shared" si="9" ref="F30:AF30">SUM(F24:F29)</f>
        <v>96760.70075822607</v>
      </c>
      <c r="G30" s="123">
        <f t="shared" si="9"/>
        <v>101598.73579613738</v>
      </c>
      <c r="H30" s="123">
        <f t="shared" si="9"/>
        <v>106678.67258594425</v>
      </c>
      <c r="I30" s="123">
        <f t="shared" si="9"/>
        <v>112012.60621524147</v>
      </c>
      <c r="J30" s="123">
        <f t="shared" si="9"/>
        <v>117613.23652600353</v>
      </c>
      <c r="K30" s="123">
        <f t="shared" si="9"/>
        <v>123493.89835230369</v>
      </c>
      <c r="L30" s="123">
        <f t="shared" si="9"/>
        <v>129668.59326991889</v>
      </c>
      <c r="M30" s="123">
        <f t="shared" si="9"/>
        <v>136152.02293341482</v>
      </c>
      <c r="N30" s="123">
        <f t="shared" si="9"/>
        <v>142959.62408008557</v>
      </c>
      <c r="O30" s="123">
        <f t="shared" si="9"/>
        <v>150107.60528408983</v>
      </c>
      <c r="P30" s="123">
        <f t="shared" si="9"/>
        <v>157612.98554829432</v>
      </c>
      <c r="Q30" s="123">
        <f t="shared" si="9"/>
        <v>165493.63482570904</v>
      </c>
      <c r="R30" s="123">
        <f t="shared" si="9"/>
        <v>173768.3165669945</v>
      </c>
      <c r="S30" s="123">
        <f t="shared" si="9"/>
        <v>182456.73239534424</v>
      </c>
      <c r="T30" s="123">
        <f t="shared" si="9"/>
        <v>191579.56901511142</v>
      </c>
      <c r="U30" s="123">
        <f t="shared" si="9"/>
        <v>201158.547465867</v>
      </c>
      <c r="V30" s="123">
        <f t="shared" si="9"/>
        <v>211216.47483916036</v>
      </c>
      <c r="W30" s="123">
        <f t="shared" si="9"/>
        <v>221777.29858111838</v>
      </c>
      <c r="X30" s="123">
        <f t="shared" si="9"/>
        <v>232866.16351017432</v>
      </c>
      <c r="Y30" s="123">
        <f t="shared" si="9"/>
        <v>244509.47168568303</v>
      </c>
      <c r="Z30" s="123">
        <f t="shared" si="9"/>
        <v>256734.9452699672</v>
      </c>
      <c r="AA30" s="123">
        <f t="shared" si="9"/>
        <v>269571.6925334655</v>
      </c>
      <c r="AB30" s="123">
        <f t="shared" si="9"/>
        <v>283050.2771601388</v>
      </c>
      <c r="AC30" s="123">
        <f t="shared" si="9"/>
        <v>297202.7910181458</v>
      </c>
      <c r="AD30" s="123">
        <f t="shared" si="9"/>
        <v>312062.93056905305</v>
      </c>
      <c r="AE30" s="123">
        <f t="shared" si="9"/>
        <v>327666.0770975057</v>
      </c>
      <c r="AF30" s="123">
        <f t="shared" si="9"/>
        <v>344049.38095238095</v>
      </c>
    </row>
    <row r="31" spans="1:32" s="76" customFormat="1" ht="15.75">
      <c r="A31" s="92"/>
      <c r="B31" s="81"/>
      <c r="C31" s="82"/>
      <c r="D31" s="123"/>
      <c r="E31" s="181"/>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row>
    <row r="32" spans="1:32" s="76" customFormat="1" ht="12.75">
      <c r="A32" s="77" t="s">
        <v>20</v>
      </c>
      <c r="B32" s="80">
        <f>SUM(B23:B31)</f>
        <v>2107359.1469436507</v>
      </c>
      <c r="C32" s="80">
        <f>SUM(C23:C31)</f>
        <v>639734.8708353487</v>
      </c>
      <c r="D32" s="123">
        <f aca="true" t="shared" si="10" ref="D32:AF32">SUM(D11+D21+D30)</f>
        <v>594559.2122996174</v>
      </c>
      <c r="E32" s="181"/>
      <c r="F32" s="123">
        <f t="shared" si="10"/>
        <v>134704.42075822607</v>
      </c>
      <c r="G32" s="123">
        <f t="shared" si="10"/>
        <v>140201.73079613736</v>
      </c>
      <c r="H32" s="123">
        <f t="shared" si="10"/>
        <v>138206.95508594427</v>
      </c>
      <c r="I32" s="123">
        <f t="shared" si="10"/>
        <v>139861.25277774147</v>
      </c>
      <c r="J32" s="123">
        <f t="shared" si="10"/>
        <v>144701.48875256605</v>
      </c>
      <c r="K32" s="123">
        <f t="shared" si="10"/>
        <v>149984.34388453024</v>
      </c>
      <c r="L32" s="123">
        <f t="shared" si="10"/>
        <v>155567.1786904511</v>
      </c>
      <c r="M32" s="123">
        <f t="shared" si="10"/>
        <v>160091.80286446033</v>
      </c>
      <c r="N32" s="123">
        <f t="shared" si="10"/>
        <v>166438.14038440725</v>
      </c>
      <c r="O32" s="123">
        <f t="shared" si="10"/>
        <v>173802.99637101954</v>
      </c>
      <c r="P32" s="123">
        <f t="shared" si="10"/>
        <v>181780.28641239728</v>
      </c>
      <c r="Q32" s="123">
        <f t="shared" si="10"/>
        <v>189972.73469578955</v>
      </c>
      <c r="R32" s="123">
        <f t="shared" si="10"/>
        <v>198567.01041820203</v>
      </c>
      <c r="S32" s="123">
        <f t="shared" si="10"/>
        <v>207583.01007720694</v>
      </c>
      <c r="T32" s="123">
        <f t="shared" si="10"/>
        <v>217213.52863902072</v>
      </c>
      <c r="U32" s="123">
        <f t="shared" si="10"/>
        <v>227136.6748518584</v>
      </c>
      <c r="V32" s="123">
        <f t="shared" si="10"/>
        <v>237547.3741812859</v>
      </c>
      <c r="W32" s="123">
        <f t="shared" si="10"/>
        <v>248469.78917828144</v>
      </c>
      <c r="X32" s="123">
        <f t="shared" si="10"/>
        <v>260105.49137226644</v>
      </c>
      <c r="Y32" s="123">
        <f t="shared" si="10"/>
        <v>272128.69636009895</v>
      </c>
      <c r="Z32" s="123">
        <f t="shared" si="10"/>
        <v>284743.564177015</v>
      </c>
      <c r="AA32" s="123">
        <f t="shared" si="10"/>
        <v>297979.440528961</v>
      </c>
      <c r="AB32" s="123">
        <f t="shared" si="10"/>
        <v>312047.74385552166</v>
      </c>
      <c r="AC32" s="123">
        <f t="shared" si="10"/>
        <v>326619.592712079</v>
      </c>
      <c r="AD32" s="123">
        <f t="shared" si="10"/>
        <v>341909.55063650035</v>
      </c>
      <c r="AE32" s="123">
        <f t="shared" si="10"/>
        <v>357953.26099780493</v>
      </c>
      <c r="AF32" s="123">
        <f t="shared" si="10"/>
        <v>374973.2694501877</v>
      </c>
    </row>
    <row r="33" spans="4:32" ht="12.75">
      <c r="D33" s="122"/>
      <c r="E33" s="182"/>
      <c r="F33" s="122"/>
      <c r="G33" s="122"/>
      <c r="H33" s="122"/>
      <c r="I33" s="122"/>
      <c r="J33" s="122"/>
      <c r="K33" s="122"/>
      <c r="L33" s="122"/>
      <c r="M33" s="125"/>
      <c r="N33" s="125"/>
      <c r="O33" s="125"/>
      <c r="P33" s="122"/>
      <c r="Q33" s="122"/>
      <c r="R33" s="122"/>
      <c r="S33" s="122"/>
      <c r="T33" s="122"/>
      <c r="U33" s="122"/>
      <c r="V33" s="122"/>
      <c r="W33" s="122"/>
      <c r="X33" s="122"/>
      <c r="Y33" s="122"/>
      <c r="Z33" s="122"/>
      <c r="AA33" s="122"/>
      <c r="AB33" s="122"/>
      <c r="AC33" s="122"/>
      <c r="AD33" s="122"/>
      <c r="AE33" s="122"/>
      <c r="AF33" s="122"/>
    </row>
    <row r="34" spans="1:32" ht="15.75">
      <c r="A34" s="92" t="s">
        <v>1</v>
      </c>
      <c r="B34" s="90" t="s">
        <v>35</v>
      </c>
      <c r="C34" s="79"/>
      <c r="D34" s="123"/>
      <c r="E34" s="181"/>
      <c r="F34" s="123"/>
      <c r="G34" s="123"/>
      <c r="H34" s="123"/>
      <c r="I34" s="123"/>
      <c r="J34" s="123"/>
      <c r="K34" s="123"/>
      <c r="L34" s="123"/>
      <c r="M34" s="123"/>
      <c r="N34" s="123"/>
      <c r="O34" s="123"/>
      <c r="P34" s="122"/>
      <c r="Q34" s="122"/>
      <c r="R34" s="122"/>
      <c r="S34" s="122"/>
      <c r="T34" s="122"/>
      <c r="U34" s="122"/>
      <c r="V34" s="122"/>
      <c r="W34" s="122"/>
      <c r="X34" s="122"/>
      <c r="Y34" s="122"/>
      <c r="Z34" s="122"/>
      <c r="AA34" s="122"/>
      <c r="AB34" s="122"/>
      <c r="AC34" s="122"/>
      <c r="AD34" s="122"/>
      <c r="AE34" s="122"/>
      <c r="AF34" s="122"/>
    </row>
    <row r="35" spans="1:32" ht="12.75">
      <c r="A35" s="83" t="s">
        <v>83</v>
      </c>
      <c r="B35" s="86">
        <f>SUM('Begroting 2002-2003'!E5:E7)</f>
        <v>2046683.2517436505</v>
      </c>
      <c r="C35" s="86">
        <f>'2004'!F5</f>
        <v>536940</v>
      </c>
      <c r="D35" s="122">
        <f>'2005'!G5</f>
        <v>438900</v>
      </c>
      <c r="E35" s="182">
        <v>100050</v>
      </c>
      <c r="F35" s="126" t="s">
        <v>41</v>
      </c>
      <c r="G35" s="126" t="s">
        <v>41</v>
      </c>
      <c r="H35" s="126" t="s">
        <v>41</v>
      </c>
      <c r="I35" s="126" t="s">
        <v>41</v>
      </c>
      <c r="J35" s="126" t="s">
        <v>41</v>
      </c>
      <c r="K35" s="126" t="s">
        <v>41</v>
      </c>
      <c r="L35" s="126" t="s">
        <v>41</v>
      </c>
      <c r="M35" s="126" t="s">
        <v>41</v>
      </c>
      <c r="N35" s="126" t="s">
        <v>41</v>
      </c>
      <c r="O35" s="126" t="s">
        <v>41</v>
      </c>
      <c r="P35" s="126" t="s">
        <v>41</v>
      </c>
      <c r="Q35" s="126" t="s">
        <v>41</v>
      </c>
      <c r="R35" s="126" t="s">
        <v>41</v>
      </c>
      <c r="S35" s="126" t="s">
        <v>41</v>
      </c>
      <c r="T35" s="126" t="s">
        <v>41</v>
      </c>
      <c r="U35" s="126" t="s">
        <v>41</v>
      </c>
      <c r="V35" s="126" t="s">
        <v>41</v>
      </c>
      <c r="W35" s="126" t="s">
        <v>41</v>
      </c>
      <c r="X35" s="126" t="s">
        <v>41</v>
      </c>
      <c r="Y35" s="126" t="s">
        <v>41</v>
      </c>
      <c r="Z35" s="126" t="s">
        <v>41</v>
      </c>
      <c r="AA35" s="126" t="s">
        <v>41</v>
      </c>
      <c r="AB35" s="126" t="s">
        <v>41</v>
      </c>
      <c r="AC35" s="126" t="s">
        <v>41</v>
      </c>
      <c r="AD35" s="126" t="s">
        <v>41</v>
      </c>
      <c r="AE35" s="126" t="s">
        <v>41</v>
      </c>
      <c r="AF35" s="126" t="s">
        <v>41</v>
      </c>
    </row>
    <row r="36" spans="1:32" ht="38.25">
      <c r="A36" s="83" t="s">
        <v>85</v>
      </c>
      <c r="B36" s="86">
        <v>0</v>
      </c>
      <c r="C36" s="86">
        <f>'2004'!F7</f>
        <v>0</v>
      </c>
      <c r="D36" s="122">
        <f>'2005'!G7</f>
        <v>0</v>
      </c>
      <c r="E36" s="182"/>
      <c r="F36" s="122">
        <v>0</v>
      </c>
      <c r="G36" s="122">
        <v>0</v>
      </c>
      <c r="H36" s="122">
        <v>0</v>
      </c>
      <c r="I36" s="122">
        <v>0</v>
      </c>
      <c r="J36" s="122">
        <v>0</v>
      </c>
      <c r="K36" s="122">
        <v>0</v>
      </c>
      <c r="L36" s="122">
        <v>0</v>
      </c>
      <c r="M36" s="122">
        <v>0</v>
      </c>
      <c r="N36" s="122">
        <v>0</v>
      </c>
      <c r="O36" s="122">
        <v>0</v>
      </c>
      <c r="P36" s="122">
        <v>0</v>
      </c>
      <c r="Q36" s="122">
        <v>0</v>
      </c>
      <c r="R36" s="122">
        <v>0</v>
      </c>
      <c r="S36" s="122">
        <v>0</v>
      </c>
      <c r="T36" s="122">
        <v>0</v>
      </c>
      <c r="U36" s="122">
        <v>0</v>
      </c>
      <c r="V36" s="122">
        <v>0</v>
      </c>
      <c r="W36" s="122">
        <v>0</v>
      </c>
      <c r="X36" s="122">
        <v>0</v>
      </c>
      <c r="Y36" s="122">
        <v>0</v>
      </c>
      <c r="Z36" s="122">
        <v>0</v>
      </c>
      <c r="AA36" s="122">
        <v>0</v>
      </c>
      <c r="AB36" s="122">
        <v>0</v>
      </c>
      <c r="AC36" s="122">
        <v>0</v>
      </c>
      <c r="AD36" s="122">
        <v>0</v>
      </c>
      <c r="AE36" s="122">
        <v>0</v>
      </c>
      <c r="AF36" s="122">
        <v>0</v>
      </c>
    </row>
    <row r="37" spans="1:32" ht="12.75">
      <c r="A37" s="83"/>
      <c r="B37" s="86"/>
      <c r="C37" s="86"/>
      <c r="D37" s="150"/>
      <c r="E37" s="184"/>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row>
    <row r="38" spans="2:32" ht="12.75">
      <c r="B38" s="86"/>
      <c r="C38" s="86"/>
      <c r="D38" s="123">
        <f>SUM(D35:D37)</f>
        <v>438900</v>
      </c>
      <c r="E38" s="181"/>
      <c r="F38" s="123">
        <f aca="true" t="shared" si="11" ref="F38:AF38">SUM(F35:F37)</f>
        <v>0</v>
      </c>
      <c r="G38" s="123">
        <f t="shared" si="11"/>
        <v>0</v>
      </c>
      <c r="H38" s="123">
        <f t="shared" si="11"/>
        <v>0</v>
      </c>
      <c r="I38" s="123">
        <f t="shared" si="11"/>
        <v>0</v>
      </c>
      <c r="J38" s="123">
        <f t="shared" si="11"/>
        <v>0</v>
      </c>
      <c r="K38" s="123">
        <f t="shared" si="11"/>
        <v>0</v>
      </c>
      <c r="L38" s="123">
        <f t="shared" si="11"/>
        <v>0</v>
      </c>
      <c r="M38" s="123">
        <f t="shared" si="11"/>
        <v>0</v>
      </c>
      <c r="N38" s="123">
        <f t="shared" si="11"/>
        <v>0</v>
      </c>
      <c r="O38" s="123">
        <f t="shared" si="11"/>
        <v>0</v>
      </c>
      <c r="P38" s="123">
        <f t="shared" si="11"/>
        <v>0</v>
      </c>
      <c r="Q38" s="123">
        <f t="shared" si="11"/>
        <v>0</v>
      </c>
      <c r="R38" s="123">
        <f t="shared" si="11"/>
        <v>0</v>
      </c>
      <c r="S38" s="123">
        <f t="shared" si="11"/>
        <v>0</v>
      </c>
      <c r="T38" s="123">
        <f t="shared" si="11"/>
        <v>0</v>
      </c>
      <c r="U38" s="123">
        <f t="shared" si="11"/>
        <v>0</v>
      </c>
      <c r="V38" s="123">
        <f t="shared" si="11"/>
        <v>0</v>
      </c>
      <c r="W38" s="123">
        <f t="shared" si="11"/>
        <v>0</v>
      </c>
      <c r="X38" s="123">
        <f t="shared" si="11"/>
        <v>0</v>
      </c>
      <c r="Y38" s="123">
        <f t="shared" si="11"/>
        <v>0</v>
      </c>
      <c r="Z38" s="123">
        <f t="shared" si="11"/>
        <v>0</v>
      </c>
      <c r="AA38" s="123">
        <f t="shared" si="11"/>
        <v>0</v>
      </c>
      <c r="AB38" s="123">
        <f t="shared" si="11"/>
        <v>0</v>
      </c>
      <c r="AC38" s="123">
        <f t="shared" si="11"/>
        <v>0</v>
      </c>
      <c r="AD38" s="123">
        <f t="shared" si="11"/>
        <v>0</v>
      </c>
      <c r="AE38" s="123">
        <f t="shared" si="11"/>
        <v>0</v>
      </c>
      <c r="AF38" s="123">
        <f t="shared" si="11"/>
        <v>0</v>
      </c>
    </row>
    <row r="39" spans="1:32" ht="12.75">
      <c r="A39" s="89" t="s">
        <v>15</v>
      </c>
      <c r="B39" s="86"/>
      <c r="C39" s="86"/>
      <c r="D39" s="122"/>
      <c r="E39" s="18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ht="12.75">
      <c r="A40" s="85" t="s">
        <v>126</v>
      </c>
      <c r="B40" s="86">
        <f>SUM('Begroting 2002-2003'!E16:E17)</f>
        <v>78226.1832</v>
      </c>
      <c r="C40" s="86">
        <v>0</v>
      </c>
      <c r="D40" s="122">
        <v>0</v>
      </c>
      <c r="E40" s="182">
        <v>100022</v>
      </c>
      <c r="F40" s="178">
        <f aca="true" t="shared" si="12" ref="F40:AF40">SUM(F50-SUM(F41:F45))</f>
        <v>37943.71975822607</v>
      </c>
      <c r="G40" s="178">
        <f t="shared" si="12"/>
        <v>38602.99475822605</v>
      </c>
      <c r="H40" s="178">
        <f t="shared" si="12"/>
        <v>57736.70508594427</v>
      </c>
      <c r="I40" s="178">
        <f t="shared" si="12"/>
        <v>59391.002777741465</v>
      </c>
      <c r="J40" s="178">
        <f t="shared" si="12"/>
        <v>64231.238752566045</v>
      </c>
      <c r="K40" s="178">
        <f t="shared" si="12"/>
        <v>69514.09388453024</v>
      </c>
      <c r="L40" s="178">
        <f t="shared" si="12"/>
        <v>75096.92869045111</v>
      </c>
      <c r="M40" s="178">
        <f t="shared" si="12"/>
        <v>79621.55286446033</v>
      </c>
      <c r="N40" s="178">
        <f t="shared" si="12"/>
        <v>85967.89038440725</v>
      </c>
      <c r="O40" s="178">
        <f t="shared" si="12"/>
        <v>93332.74637101954</v>
      </c>
      <c r="P40" s="178">
        <f t="shared" si="12"/>
        <v>101310.03641239728</v>
      </c>
      <c r="Q40" s="178">
        <f t="shared" si="12"/>
        <v>109502.48469578955</v>
      </c>
      <c r="R40" s="178">
        <f t="shared" si="12"/>
        <v>118096.76041820203</v>
      </c>
      <c r="S40" s="178">
        <f t="shared" si="12"/>
        <v>127112.76007720694</v>
      </c>
      <c r="T40" s="178">
        <f t="shared" si="12"/>
        <v>136743.27863902072</v>
      </c>
      <c r="U40" s="178">
        <f t="shared" si="12"/>
        <v>146666.4248518584</v>
      </c>
      <c r="V40" s="178">
        <f t="shared" si="12"/>
        <v>157077.1241812859</v>
      </c>
      <c r="W40" s="178">
        <f t="shared" si="12"/>
        <v>167999.53917828144</v>
      </c>
      <c r="X40" s="178">
        <f t="shared" si="12"/>
        <v>179635.24137226644</v>
      </c>
      <c r="Y40" s="178">
        <f t="shared" si="12"/>
        <v>191658.44636009895</v>
      </c>
      <c r="Z40" s="178">
        <f t="shared" si="12"/>
        <v>204273.31417701498</v>
      </c>
      <c r="AA40" s="178">
        <f t="shared" si="12"/>
        <v>217509.19052896101</v>
      </c>
      <c r="AB40" s="178">
        <f t="shared" si="12"/>
        <v>231577.49385552166</v>
      </c>
      <c r="AC40" s="178">
        <f t="shared" si="12"/>
        <v>246149.342712079</v>
      </c>
      <c r="AD40" s="178">
        <f t="shared" si="12"/>
        <v>261439.30063650035</v>
      </c>
      <c r="AE40" s="178">
        <f t="shared" si="12"/>
        <v>277483.01099780493</v>
      </c>
      <c r="AF40" s="178">
        <f t="shared" si="12"/>
        <v>294503.0194501877</v>
      </c>
    </row>
    <row r="41" spans="1:32" ht="12.75">
      <c r="A41" s="85" t="s">
        <v>175</v>
      </c>
      <c r="B41" s="86">
        <f>5.06/100*2061296*9/12</f>
        <v>78226.1832</v>
      </c>
      <c r="C41" s="86">
        <f>SUM('2004'!F16:F17)</f>
        <v>127009.24583534872</v>
      </c>
      <c r="D41" s="122">
        <f>SUM('2005'!G16:G17)</f>
        <v>155659.21229961736</v>
      </c>
      <c r="E41" s="182">
        <v>100020</v>
      </c>
      <c r="F41" s="122">
        <f>SUM(D60*5%)</f>
        <v>96760.701</v>
      </c>
      <c r="G41" s="122">
        <f>SUM(F60*5%)</f>
        <v>101598.73603791131</v>
      </c>
      <c r="H41" s="122">
        <f>+'[2]Rente'!$G$16</f>
        <v>80470.25</v>
      </c>
      <c r="I41" s="122">
        <f>+'[2]Rente'!$G$16</f>
        <v>80470.25</v>
      </c>
      <c r="J41" s="122">
        <f>+'[2]Rente'!$G$16</f>
        <v>80470.25</v>
      </c>
      <c r="K41" s="122">
        <f>+'[2]Rente'!$G$16</f>
        <v>80470.25</v>
      </c>
      <c r="L41" s="122">
        <f>+'[2]Rente'!$G$16</f>
        <v>80470.25</v>
      </c>
      <c r="M41" s="122">
        <f>+'[2]Rente'!$G$16</f>
        <v>80470.25</v>
      </c>
      <c r="N41" s="122">
        <f>+'[2]Rente'!$G$16</f>
        <v>80470.25</v>
      </c>
      <c r="O41" s="122">
        <f>+'[2]Rente'!$G$16</f>
        <v>80470.25</v>
      </c>
      <c r="P41" s="122">
        <f>+'[2]Rente'!$G$16</f>
        <v>80470.25</v>
      </c>
      <c r="Q41" s="122">
        <f>+'[2]Rente'!$G$16</f>
        <v>80470.25</v>
      </c>
      <c r="R41" s="122">
        <f>+'[2]Rente'!$G$16</f>
        <v>80470.25</v>
      </c>
      <c r="S41" s="122">
        <f>+'[2]Rente'!$G$16</f>
        <v>80470.25</v>
      </c>
      <c r="T41" s="122">
        <f>+'[2]Rente'!$G$16</f>
        <v>80470.25</v>
      </c>
      <c r="U41" s="122">
        <f>+'[2]Rente'!$G$16</f>
        <v>80470.25</v>
      </c>
      <c r="V41" s="122">
        <f>+'[2]Rente'!$G$16</f>
        <v>80470.25</v>
      </c>
      <c r="W41" s="122">
        <f>+'[2]Rente'!$G$16</f>
        <v>80470.25</v>
      </c>
      <c r="X41" s="122">
        <f>+'[2]Rente'!$G$16</f>
        <v>80470.25</v>
      </c>
      <c r="Y41" s="122">
        <f>+'[2]Rente'!$G$16</f>
        <v>80470.25</v>
      </c>
      <c r="Z41" s="122">
        <f>+'[2]Rente'!$G$16</f>
        <v>80470.25</v>
      </c>
      <c r="AA41" s="122">
        <f>+'[2]Rente'!$G$16</f>
        <v>80470.25</v>
      </c>
      <c r="AB41" s="122">
        <f>+'[2]Rente'!$G$16</f>
        <v>80470.25</v>
      </c>
      <c r="AC41" s="122">
        <f>+'[2]Rente'!$G$16</f>
        <v>80470.25</v>
      </c>
      <c r="AD41" s="122">
        <f>+'[2]Rente'!$G$16</f>
        <v>80470.25</v>
      </c>
      <c r="AE41" s="122">
        <f>+'[2]Rente'!$G$16</f>
        <v>80470.25</v>
      </c>
      <c r="AF41" s="122">
        <f>+'[2]Rente'!$G$16</f>
        <v>80470.25</v>
      </c>
    </row>
    <row r="42" spans="1:32" s="148" customFormat="1" ht="12.75">
      <c r="A42" s="149" t="s">
        <v>6</v>
      </c>
      <c r="B42" s="147" t="s">
        <v>41</v>
      </c>
      <c r="C42" s="147" t="str">
        <f>'2004'!F19</f>
        <v>p.m.</v>
      </c>
      <c r="D42" s="126" t="str">
        <f>'2005'!G19</f>
        <v>p.m.</v>
      </c>
      <c r="E42" s="188">
        <v>100031</v>
      </c>
      <c r="F42" s="126" t="s">
        <v>41</v>
      </c>
      <c r="G42" s="126" t="s">
        <v>41</v>
      </c>
      <c r="H42" s="126" t="s">
        <v>41</v>
      </c>
      <c r="I42" s="126" t="s">
        <v>41</v>
      </c>
      <c r="J42" s="126" t="s">
        <v>41</v>
      </c>
      <c r="K42" s="126" t="s">
        <v>41</v>
      </c>
      <c r="L42" s="126" t="s">
        <v>41</v>
      </c>
      <c r="M42" s="126" t="s">
        <v>41</v>
      </c>
      <c r="N42" s="126" t="s">
        <v>41</v>
      </c>
      <c r="O42" s="126" t="s">
        <v>41</v>
      </c>
      <c r="P42" s="126" t="s">
        <v>41</v>
      </c>
      <c r="Q42" s="126" t="s">
        <v>41</v>
      </c>
      <c r="R42" s="126" t="s">
        <v>41</v>
      </c>
      <c r="S42" s="126" t="s">
        <v>41</v>
      </c>
      <c r="T42" s="126" t="s">
        <v>41</v>
      </c>
      <c r="U42" s="126" t="s">
        <v>41</v>
      </c>
      <c r="V42" s="126" t="s">
        <v>41</v>
      </c>
      <c r="W42" s="126" t="s">
        <v>41</v>
      </c>
      <c r="X42" s="126" t="s">
        <v>41</v>
      </c>
      <c r="Y42" s="126" t="s">
        <v>41</v>
      </c>
      <c r="Z42" s="126" t="s">
        <v>41</v>
      </c>
      <c r="AA42" s="126" t="s">
        <v>41</v>
      </c>
      <c r="AB42" s="126" t="s">
        <v>41</v>
      </c>
      <c r="AC42" s="126" t="s">
        <v>41</v>
      </c>
      <c r="AD42" s="126" t="s">
        <v>41</v>
      </c>
      <c r="AE42" s="126" t="s">
        <v>41</v>
      </c>
      <c r="AF42" s="126" t="s">
        <v>41</v>
      </c>
    </row>
    <row r="43" spans="1:32" s="148" customFormat="1" ht="38.25">
      <c r="A43" s="149" t="s">
        <v>17</v>
      </c>
      <c r="B43" s="147" t="s">
        <v>41</v>
      </c>
      <c r="C43" s="147" t="str">
        <f>'2004'!F22</f>
        <v>p.m.</v>
      </c>
      <c r="D43" s="126" t="str">
        <f>'2005'!G22</f>
        <v>p.m.</v>
      </c>
      <c r="E43" s="188">
        <v>100012</v>
      </c>
      <c r="F43" s="126" t="s">
        <v>41</v>
      </c>
      <c r="G43" s="126" t="s">
        <v>41</v>
      </c>
      <c r="H43" s="126" t="s">
        <v>41</v>
      </c>
      <c r="I43" s="126" t="s">
        <v>41</v>
      </c>
      <c r="J43" s="126" t="s">
        <v>41</v>
      </c>
      <c r="K43" s="126" t="s">
        <v>41</v>
      </c>
      <c r="L43" s="126" t="s">
        <v>41</v>
      </c>
      <c r="M43" s="126" t="s">
        <v>41</v>
      </c>
      <c r="N43" s="126" t="s">
        <v>41</v>
      </c>
      <c r="O43" s="126" t="s">
        <v>41</v>
      </c>
      <c r="P43" s="126" t="s">
        <v>41</v>
      </c>
      <c r="Q43" s="126" t="s">
        <v>41</v>
      </c>
      <c r="R43" s="126" t="s">
        <v>41</v>
      </c>
      <c r="S43" s="126" t="s">
        <v>41</v>
      </c>
      <c r="T43" s="126" t="s">
        <v>41</v>
      </c>
      <c r="U43" s="126" t="s">
        <v>41</v>
      </c>
      <c r="V43" s="126" t="s">
        <v>41</v>
      </c>
      <c r="W43" s="126" t="s">
        <v>41</v>
      </c>
      <c r="X43" s="126" t="s">
        <v>41</v>
      </c>
      <c r="Y43" s="126" t="s">
        <v>41</v>
      </c>
      <c r="Z43" s="126" t="s">
        <v>41</v>
      </c>
      <c r="AA43" s="126" t="s">
        <v>41</v>
      </c>
      <c r="AB43" s="126" t="s">
        <v>41</v>
      </c>
      <c r="AC43" s="126" t="s">
        <v>41</v>
      </c>
      <c r="AD43" s="126" t="s">
        <v>41</v>
      </c>
      <c r="AE43" s="126" t="s">
        <v>41</v>
      </c>
      <c r="AF43" s="126" t="s">
        <v>41</v>
      </c>
    </row>
    <row r="44" spans="1:32" ht="12.75">
      <c r="A44" s="85" t="s">
        <v>7</v>
      </c>
      <c r="B44" s="86"/>
      <c r="C44" s="86">
        <f>'2004'!F23</f>
        <v>0</v>
      </c>
      <c r="D44" s="122"/>
      <c r="E44" s="18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row>
    <row r="45" spans="2:32" ht="12.75">
      <c r="B45" s="86"/>
      <c r="C45" s="86"/>
      <c r="D45" s="150"/>
      <c r="E45" s="184"/>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row>
    <row r="46" spans="2:32" ht="12.75">
      <c r="B46" s="86"/>
      <c r="C46" s="86"/>
      <c r="D46" s="123">
        <f>SUM(D41:D45)</f>
        <v>155659.21229961736</v>
      </c>
      <c r="E46" s="181"/>
      <c r="F46" s="123">
        <f>SUM(F41:F45)+F40</f>
        <v>134704.42075822607</v>
      </c>
      <c r="G46" s="123">
        <f aca="true" t="shared" si="13" ref="G46:AF46">SUM(G41:G45)+G40</f>
        <v>140201.73079613736</v>
      </c>
      <c r="H46" s="123">
        <f t="shared" si="13"/>
        <v>138206.95508594427</v>
      </c>
      <c r="I46" s="123">
        <f t="shared" si="13"/>
        <v>139861.25277774147</v>
      </c>
      <c r="J46" s="123">
        <f t="shared" si="13"/>
        <v>144701.48875256605</v>
      </c>
      <c r="K46" s="123">
        <f t="shared" si="13"/>
        <v>149984.34388453024</v>
      </c>
      <c r="L46" s="123">
        <f t="shared" si="13"/>
        <v>155567.1786904511</v>
      </c>
      <c r="M46" s="123">
        <f t="shared" si="13"/>
        <v>160091.80286446033</v>
      </c>
      <c r="N46" s="123">
        <f t="shared" si="13"/>
        <v>166438.14038440725</v>
      </c>
      <c r="O46" s="123">
        <f t="shared" si="13"/>
        <v>173802.99637101954</v>
      </c>
      <c r="P46" s="123">
        <f t="shared" si="13"/>
        <v>181780.28641239728</v>
      </c>
      <c r="Q46" s="123">
        <f t="shared" si="13"/>
        <v>189972.73469578955</v>
      </c>
      <c r="R46" s="123">
        <f t="shared" si="13"/>
        <v>198567.01041820203</v>
      </c>
      <c r="S46" s="123">
        <f t="shared" si="13"/>
        <v>207583.01007720694</v>
      </c>
      <c r="T46" s="123">
        <f t="shared" si="13"/>
        <v>217213.52863902072</v>
      </c>
      <c r="U46" s="123">
        <f t="shared" si="13"/>
        <v>227136.6748518584</v>
      </c>
      <c r="V46" s="123">
        <f t="shared" si="13"/>
        <v>237547.3741812859</v>
      </c>
      <c r="W46" s="123">
        <f t="shared" si="13"/>
        <v>248469.78917828144</v>
      </c>
      <c r="X46" s="123">
        <f t="shared" si="13"/>
        <v>260105.49137226644</v>
      </c>
      <c r="Y46" s="123">
        <f t="shared" si="13"/>
        <v>272128.69636009895</v>
      </c>
      <c r="Z46" s="123">
        <f t="shared" si="13"/>
        <v>284743.564177015</v>
      </c>
      <c r="AA46" s="123">
        <f t="shared" si="13"/>
        <v>297979.440528961</v>
      </c>
      <c r="AB46" s="123">
        <f t="shared" si="13"/>
        <v>312047.74385552166</v>
      </c>
      <c r="AC46" s="123">
        <f t="shared" si="13"/>
        <v>326619.592712079</v>
      </c>
      <c r="AD46" s="123">
        <f t="shared" si="13"/>
        <v>341909.55063650035</v>
      </c>
      <c r="AE46" s="123">
        <f t="shared" si="13"/>
        <v>357953.26099780493</v>
      </c>
      <c r="AF46" s="123">
        <f t="shared" si="13"/>
        <v>374973.2694501877</v>
      </c>
    </row>
    <row r="47" spans="2:32" ht="12.75">
      <c r="B47" s="86"/>
      <c r="C47" s="86"/>
      <c r="D47" s="122"/>
      <c r="E47" s="18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1:32" ht="12.75">
      <c r="A48" s="77" t="s">
        <v>21</v>
      </c>
      <c r="B48" s="80">
        <f>SUM(B35:B47)</f>
        <v>2203135.6181436502</v>
      </c>
      <c r="C48" s="80">
        <f>SUM(C35:C47)</f>
        <v>663949.2458353487</v>
      </c>
      <c r="D48" s="123">
        <f aca="true" t="shared" si="14" ref="D48:AF48">SUM(D38+D46)</f>
        <v>594559.2122996174</v>
      </c>
      <c r="E48" s="181"/>
      <c r="F48" s="123">
        <f t="shared" si="14"/>
        <v>134704.42075822607</v>
      </c>
      <c r="G48" s="123">
        <f t="shared" si="14"/>
        <v>140201.73079613736</v>
      </c>
      <c r="H48" s="123">
        <f t="shared" si="14"/>
        <v>138206.95508594427</v>
      </c>
      <c r="I48" s="123">
        <f t="shared" si="14"/>
        <v>139861.25277774147</v>
      </c>
      <c r="J48" s="123">
        <f t="shared" si="14"/>
        <v>144701.48875256605</v>
      </c>
      <c r="K48" s="123">
        <f t="shared" si="14"/>
        <v>149984.34388453024</v>
      </c>
      <c r="L48" s="123">
        <f t="shared" si="14"/>
        <v>155567.1786904511</v>
      </c>
      <c r="M48" s="123">
        <f t="shared" si="14"/>
        <v>160091.80286446033</v>
      </c>
      <c r="N48" s="123">
        <f t="shared" si="14"/>
        <v>166438.14038440725</v>
      </c>
      <c r="O48" s="123">
        <f t="shared" si="14"/>
        <v>173802.99637101954</v>
      </c>
      <c r="P48" s="123">
        <f t="shared" si="14"/>
        <v>181780.28641239728</v>
      </c>
      <c r="Q48" s="123">
        <f t="shared" si="14"/>
        <v>189972.73469578955</v>
      </c>
      <c r="R48" s="123">
        <f t="shared" si="14"/>
        <v>198567.01041820203</v>
      </c>
      <c r="S48" s="123">
        <f t="shared" si="14"/>
        <v>207583.01007720694</v>
      </c>
      <c r="T48" s="123">
        <f t="shared" si="14"/>
        <v>217213.52863902072</v>
      </c>
      <c r="U48" s="123">
        <f t="shared" si="14"/>
        <v>227136.6748518584</v>
      </c>
      <c r="V48" s="123">
        <f t="shared" si="14"/>
        <v>237547.3741812859</v>
      </c>
      <c r="W48" s="123">
        <f t="shared" si="14"/>
        <v>248469.78917828144</v>
      </c>
      <c r="X48" s="123">
        <f t="shared" si="14"/>
        <v>260105.49137226644</v>
      </c>
      <c r="Y48" s="123">
        <f t="shared" si="14"/>
        <v>272128.69636009895</v>
      </c>
      <c r="Z48" s="123">
        <f t="shared" si="14"/>
        <v>284743.564177015</v>
      </c>
      <c r="AA48" s="123">
        <f t="shared" si="14"/>
        <v>297979.440528961</v>
      </c>
      <c r="AB48" s="123">
        <f t="shared" si="14"/>
        <v>312047.74385552166</v>
      </c>
      <c r="AC48" s="123">
        <f t="shared" si="14"/>
        <v>326619.592712079</v>
      </c>
      <c r="AD48" s="123">
        <f t="shared" si="14"/>
        <v>341909.55063650035</v>
      </c>
      <c r="AE48" s="123">
        <f t="shared" si="14"/>
        <v>357953.26099780493</v>
      </c>
      <c r="AF48" s="123">
        <f t="shared" si="14"/>
        <v>374973.2694501877</v>
      </c>
    </row>
    <row r="49" spans="1:32" ht="12.75">
      <c r="A49" s="77"/>
      <c r="B49" s="80"/>
      <c r="C49" s="80"/>
      <c r="D49" s="123"/>
      <c r="E49" s="181"/>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row>
    <row r="50" spans="1:32" s="76" customFormat="1" ht="12.75">
      <c r="A50" s="77" t="s">
        <v>20</v>
      </c>
      <c r="B50" s="78">
        <f aca="true" t="shared" si="15" ref="B50:O50">B32</f>
        <v>2107359.1469436507</v>
      </c>
      <c r="C50" s="78">
        <f t="shared" si="15"/>
        <v>639734.8708353487</v>
      </c>
      <c r="D50" s="123">
        <f t="shared" si="15"/>
        <v>594559.2122996174</v>
      </c>
      <c r="E50" s="181"/>
      <c r="F50" s="123">
        <f t="shared" si="15"/>
        <v>134704.42075822607</v>
      </c>
      <c r="G50" s="123">
        <f t="shared" si="15"/>
        <v>140201.73079613736</v>
      </c>
      <c r="H50" s="123">
        <f t="shared" si="15"/>
        <v>138206.95508594427</v>
      </c>
      <c r="I50" s="123">
        <f t="shared" si="15"/>
        <v>139861.25277774147</v>
      </c>
      <c r="J50" s="123">
        <f t="shared" si="15"/>
        <v>144701.48875256605</v>
      </c>
      <c r="K50" s="123">
        <f t="shared" si="15"/>
        <v>149984.34388453024</v>
      </c>
      <c r="L50" s="123">
        <f t="shared" si="15"/>
        <v>155567.1786904511</v>
      </c>
      <c r="M50" s="123">
        <f t="shared" si="15"/>
        <v>160091.80286446033</v>
      </c>
      <c r="N50" s="123">
        <f t="shared" si="15"/>
        <v>166438.14038440725</v>
      </c>
      <c r="O50" s="123">
        <f t="shared" si="15"/>
        <v>173802.99637101954</v>
      </c>
      <c r="P50" s="123">
        <f aca="true" t="shared" si="16" ref="P50:AF50">P32</f>
        <v>181780.28641239728</v>
      </c>
      <c r="Q50" s="123">
        <f t="shared" si="16"/>
        <v>189972.73469578955</v>
      </c>
      <c r="R50" s="123">
        <f t="shared" si="16"/>
        <v>198567.01041820203</v>
      </c>
      <c r="S50" s="123">
        <f t="shared" si="16"/>
        <v>207583.01007720694</v>
      </c>
      <c r="T50" s="123">
        <f t="shared" si="16"/>
        <v>217213.52863902072</v>
      </c>
      <c r="U50" s="123">
        <f t="shared" si="16"/>
        <v>227136.6748518584</v>
      </c>
      <c r="V50" s="123">
        <f t="shared" si="16"/>
        <v>237547.3741812859</v>
      </c>
      <c r="W50" s="123">
        <f t="shared" si="16"/>
        <v>248469.78917828144</v>
      </c>
      <c r="X50" s="123">
        <f t="shared" si="16"/>
        <v>260105.49137226644</v>
      </c>
      <c r="Y50" s="123">
        <f t="shared" si="16"/>
        <v>272128.69636009895</v>
      </c>
      <c r="Z50" s="123">
        <f t="shared" si="16"/>
        <v>284743.564177015</v>
      </c>
      <c r="AA50" s="123">
        <f t="shared" si="16"/>
        <v>297979.440528961</v>
      </c>
      <c r="AB50" s="123">
        <f t="shared" si="16"/>
        <v>312047.74385552166</v>
      </c>
      <c r="AC50" s="123">
        <f t="shared" si="16"/>
        <v>326619.592712079</v>
      </c>
      <c r="AD50" s="123">
        <f t="shared" si="16"/>
        <v>341909.55063650035</v>
      </c>
      <c r="AE50" s="123">
        <f t="shared" si="16"/>
        <v>357953.26099780493</v>
      </c>
      <c r="AF50" s="123">
        <f t="shared" si="16"/>
        <v>374973.2694501877</v>
      </c>
    </row>
    <row r="51" spans="1:32" s="76" customFormat="1" ht="12.75">
      <c r="A51" s="77"/>
      <c r="B51" s="78"/>
      <c r="C51" s="78"/>
      <c r="D51" s="124"/>
      <c r="E51" s="183"/>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row>
    <row r="52" spans="1:32" ht="25.5">
      <c r="A52" s="77" t="s">
        <v>24</v>
      </c>
      <c r="B52" s="78">
        <f aca="true" t="shared" si="17" ref="B52:O52">B48-B50</f>
        <v>95776.47119999956</v>
      </c>
      <c r="C52" s="78">
        <f t="shared" si="17"/>
        <v>24214.375</v>
      </c>
      <c r="D52" s="123">
        <f t="shared" si="17"/>
        <v>0</v>
      </c>
      <c r="E52" s="181"/>
      <c r="F52" s="123">
        <f t="shared" si="17"/>
        <v>0</v>
      </c>
      <c r="G52" s="123">
        <f t="shared" si="17"/>
        <v>0</v>
      </c>
      <c r="H52" s="123">
        <f t="shared" si="17"/>
        <v>0</v>
      </c>
      <c r="I52" s="123">
        <f t="shared" si="17"/>
        <v>0</v>
      </c>
      <c r="J52" s="123">
        <f t="shared" si="17"/>
        <v>0</v>
      </c>
      <c r="K52" s="123">
        <f t="shared" si="17"/>
        <v>0</v>
      </c>
      <c r="L52" s="123">
        <f t="shared" si="17"/>
        <v>0</v>
      </c>
      <c r="M52" s="123">
        <f t="shared" si="17"/>
        <v>0</v>
      </c>
      <c r="N52" s="123">
        <f t="shared" si="17"/>
        <v>0</v>
      </c>
      <c r="O52" s="123">
        <f t="shared" si="17"/>
        <v>0</v>
      </c>
      <c r="P52" s="123">
        <f aca="true" t="shared" si="18" ref="P52:AF52">P48-P50</f>
        <v>0</v>
      </c>
      <c r="Q52" s="123">
        <f t="shared" si="18"/>
        <v>0</v>
      </c>
      <c r="R52" s="123">
        <f t="shared" si="18"/>
        <v>0</v>
      </c>
      <c r="S52" s="123">
        <f t="shared" si="18"/>
        <v>0</v>
      </c>
      <c r="T52" s="123">
        <f t="shared" si="18"/>
        <v>0</v>
      </c>
      <c r="U52" s="123">
        <f t="shared" si="18"/>
        <v>0</v>
      </c>
      <c r="V52" s="123">
        <f t="shared" si="18"/>
        <v>0</v>
      </c>
      <c r="W52" s="123">
        <f t="shared" si="18"/>
        <v>0</v>
      </c>
      <c r="X52" s="123">
        <f t="shared" si="18"/>
        <v>0</v>
      </c>
      <c r="Y52" s="123">
        <f t="shared" si="18"/>
        <v>0</v>
      </c>
      <c r="Z52" s="123">
        <f t="shared" si="18"/>
        <v>0</v>
      </c>
      <c r="AA52" s="123">
        <f t="shared" si="18"/>
        <v>0</v>
      </c>
      <c r="AB52" s="123">
        <f t="shared" si="18"/>
        <v>0</v>
      </c>
      <c r="AC52" s="123">
        <f t="shared" si="18"/>
        <v>0</v>
      </c>
      <c r="AD52" s="123">
        <f t="shared" si="18"/>
        <v>0</v>
      </c>
      <c r="AE52" s="123">
        <f t="shared" si="18"/>
        <v>0</v>
      </c>
      <c r="AF52" s="123">
        <f t="shared" si="18"/>
        <v>0</v>
      </c>
    </row>
    <row r="53" spans="1:32" ht="25.5">
      <c r="A53" s="83" t="s">
        <v>176</v>
      </c>
      <c r="B53" s="91">
        <f>'Begroting 2002-2003'!E28</f>
        <v>0</v>
      </c>
      <c r="C53" s="91"/>
      <c r="D53" s="125">
        <v>0</v>
      </c>
      <c r="E53" s="185"/>
      <c r="F53" s="125">
        <v>0</v>
      </c>
      <c r="G53" s="125">
        <v>0</v>
      </c>
      <c r="H53" s="125">
        <v>0</v>
      </c>
      <c r="I53" s="125">
        <v>0</v>
      </c>
      <c r="J53" s="125">
        <v>0</v>
      </c>
      <c r="K53" s="125">
        <v>0</v>
      </c>
      <c r="L53" s="125">
        <v>0</v>
      </c>
      <c r="M53" s="125">
        <v>0</v>
      </c>
      <c r="N53" s="125">
        <v>0</v>
      </c>
      <c r="O53" s="125">
        <v>0</v>
      </c>
      <c r="P53" s="125">
        <v>0</v>
      </c>
      <c r="Q53" s="125">
        <v>0</v>
      </c>
      <c r="R53" s="125">
        <v>0</v>
      </c>
      <c r="S53" s="125">
        <v>0</v>
      </c>
      <c r="T53" s="125">
        <v>0</v>
      </c>
      <c r="U53" s="125">
        <v>0</v>
      </c>
      <c r="V53" s="125">
        <v>0</v>
      </c>
      <c r="W53" s="125">
        <v>0</v>
      </c>
      <c r="X53" s="125">
        <v>0</v>
      </c>
      <c r="Y53" s="125">
        <v>0</v>
      </c>
      <c r="Z53" s="125">
        <v>0</v>
      </c>
      <c r="AA53" s="125">
        <v>0</v>
      </c>
      <c r="AB53" s="125">
        <v>0</v>
      </c>
      <c r="AC53" s="125">
        <v>0</v>
      </c>
      <c r="AD53" s="125">
        <v>0</v>
      </c>
      <c r="AE53" s="125">
        <v>0</v>
      </c>
      <c r="AF53" s="125">
        <v>0</v>
      </c>
    </row>
    <row r="54" spans="1:32" s="76" customFormat="1" ht="38.25">
      <c r="A54" s="83" t="s">
        <v>125</v>
      </c>
      <c r="B54" s="78">
        <f>'Begroting 2002-2003'!E29</f>
        <v>0</v>
      </c>
      <c r="C54" s="78"/>
      <c r="D54" s="123"/>
      <c r="E54" s="181"/>
      <c r="F54" s="123">
        <v>0</v>
      </c>
      <c r="G54" s="123">
        <v>0</v>
      </c>
      <c r="H54" s="123">
        <v>0</v>
      </c>
      <c r="I54" s="123">
        <v>0</v>
      </c>
      <c r="J54" s="123">
        <v>0</v>
      </c>
      <c r="K54" s="123">
        <v>0</v>
      </c>
      <c r="L54" s="123">
        <v>0</v>
      </c>
      <c r="M54" s="123">
        <v>0</v>
      </c>
      <c r="N54" s="123">
        <v>0</v>
      </c>
      <c r="O54" s="123">
        <v>0</v>
      </c>
      <c r="P54" s="123">
        <v>0</v>
      </c>
      <c r="Q54" s="123">
        <v>0</v>
      </c>
      <c r="R54" s="123">
        <v>0</v>
      </c>
      <c r="S54" s="123">
        <v>0</v>
      </c>
      <c r="T54" s="123">
        <v>0</v>
      </c>
      <c r="U54" s="123">
        <v>0</v>
      </c>
      <c r="V54" s="123">
        <v>0</v>
      </c>
      <c r="W54" s="123">
        <v>0</v>
      </c>
      <c r="X54" s="123">
        <v>0</v>
      </c>
      <c r="Y54" s="123">
        <v>0</v>
      </c>
      <c r="Z54" s="123">
        <v>0</v>
      </c>
      <c r="AA54" s="123">
        <v>0</v>
      </c>
      <c r="AB54" s="123">
        <v>0</v>
      </c>
      <c r="AC54" s="123">
        <v>0</v>
      </c>
      <c r="AD54" s="123">
        <v>0</v>
      </c>
      <c r="AE54" s="123">
        <v>0</v>
      </c>
      <c r="AF54" s="123">
        <v>0</v>
      </c>
    </row>
    <row r="55" spans="1:32" ht="12.75">
      <c r="A55" s="83"/>
      <c r="B55" s="91"/>
      <c r="C55" s="91"/>
      <c r="D55" s="151"/>
      <c r="E55" s="186"/>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row>
    <row r="56" spans="1:32" ht="12.75">
      <c r="A56" s="77" t="s">
        <v>23</v>
      </c>
      <c r="B56" s="78">
        <f>B52-B53+B54</f>
        <v>95776.47119999956</v>
      </c>
      <c r="C56" s="78">
        <f>C52-C53+C54</f>
        <v>24214.375</v>
      </c>
      <c r="D56" s="123">
        <f>D52-D53+D54</f>
        <v>0</v>
      </c>
      <c r="E56" s="181"/>
      <c r="F56" s="123">
        <f>F52-F53+F54</f>
        <v>0</v>
      </c>
      <c r="G56" s="123">
        <f aca="true" t="shared" si="19" ref="G56:AF56">G52-G53+G54</f>
        <v>0</v>
      </c>
      <c r="H56" s="123">
        <f t="shared" si="19"/>
        <v>0</v>
      </c>
      <c r="I56" s="123">
        <f t="shared" si="19"/>
        <v>0</v>
      </c>
      <c r="J56" s="123">
        <f t="shared" si="19"/>
        <v>0</v>
      </c>
      <c r="K56" s="123">
        <f t="shared" si="19"/>
        <v>0</v>
      </c>
      <c r="L56" s="123">
        <f t="shared" si="19"/>
        <v>0</v>
      </c>
      <c r="M56" s="123">
        <f t="shared" si="19"/>
        <v>0</v>
      </c>
      <c r="N56" s="123">
        <f t="shared" si="19"/>
        <v>0</v>
      </c>
      <c r="O56" s="123">
        <f t="shared" si="19"/>
        <v>0</v>
      </c>
      <c r="P56" s="123">
        <f t="shared" si="19"/>
        <v>0</v>
      </c>
      <c r="Q56" s="123">
        <f t="shared" si="19"/>
        <v>0</v>
      </c>
      <c r="R56" s="123">
        <f t="shared" si="19"/>
        <v>0</v>
      </c>
      <c r="S56" s="123">
        <f t="shared" si="19"/>
        <v>0</v>
      </c>
      <c r="T56" s="123">
        <f t="shared" si="19"/>
        <v>0</v>
      </c>
      <c r="U56" s="123">
        <f t="shared" si="19"/>
        <v>0</v>
      </c>
      <c r="V56" s="123">
        <f t="shared" si="19"/>
        <v>0</v>
      </c>
      <c r="W56" s="123">
        <f t="shared" si="19"/>
        <v>0</v>
      </c>
      <c r="X56" s="123">
        <f t="shared" si="19"/>
        <v>0</v>
      </c>
      <c r="Y56" s="123">
        <f t="shared" si="19"/>
        <v>0</v>
      </c>
      <c r="Z56" s="123">
        <f t="shared" si="19"/>
        <v>0</v>
      </c>
      <c r="AA56" s="123">
        <f t="shared" si="19"/>
        <v>0</v>
      </c>
      <c r="AB56" s="123">
        <f t="shared" si="19"/>
        <v>0</v>
      </c>
      <c r="AC56" s="123">
        <f t="shared" si="19"/>
        <v>0</v>
      </c>
      <c r="AD56" s="123">
        <f t="shared" si="19"/>
        <v>0</v>
      </c>
      <c r="AE56" s="123">
        <f t="shared" si="19"/>
        <v>0</v>
      </c>
      <c r="AF56" s="123">
        <f t="shared" si="19"/>
        <v>0</v>
      </c>
    </row>
    <row r="57" spans="4:32" ht="12.75">
      <c r="D57" s="122"/>
      <c r="E57" s="18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row>
    <row r="58" spans="4:32" ht="12.75">
      <c r="D58" s="122"/>
      <c r="E58" s="18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row>
    <row r="59" spans="4:32" ht="12.75">
      <c r="D59" s="122"/>
      <c r="E59" s="18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row>
    <row r="60" spans="1:32" s="76" customFormat="1" ht="25.5">
      <c r="A60" s="77" t="s">
        <v>177</v>
      </c>
      <c r="B60" s="80">
        <f>'Begroting 2002-2003'!B37</f>
        <v>2107359.1469436507</v>
      </c>
      <c r="C60" s="80">
        <f>'2004'!B41</f>
        <v>2747094.017778999</v>
      </c>
      <c r="D60" s="123">
        <v>1935214.02</v>
      </c>
      <c r="E60" s="181"/>
      <c r="F60" s="123">
        <f>+D60+F24</f>
        <v>2031974.720758226</v>
      </c>
      <c r="G60" s="123">
        <f aca="true" t="shared" si="20" ref="G60:AF60">+F60+G24</f>
        <v>2133573.4565543635</v>
      </c>
      <c r="H60" s="123">
        <f t="shared" si="20"/>
        <v>2240252.1291403077</v>
      </c>
      <c r="I60" s="123">
        <f>+H60+I24</f>
        <v>2352264.735355549</v>
      </c>
      <c r="J60" s="123">
        <f t="shared" si="20"/>
        <v>2469877.9718815526</v>
      </c>
      <c r="K60" s="123">
        <f t="shared" si="20"/>
        <v>2593371.870233856</v>
      </c>
      <c r="L60" s="123">
        <f t="shared" si="20"/>
        <v>2723040.463503775</v>
      </c>
      <c r="M60" s="123">
        <f t="shared" si="20"/>
        <v>2859192.48643719</v>
      </c>
      <c r="N60" s="123">
        <f t="shared" si="20"/>
        <v>3002152.1105172755</v>
      </c>
      <c r="O60" s="123">
        <f t="shared" si="20"/>
        <v>3152259.715801365</v>
      </c>
      <c r="P60" s="123">
        <f t="shared" si="20"/>
        <v>3309872.7013496594</v>
      </c>
      <c r="Q60" s="123">
        <f t="shared" si="20"/>
        <v>3475366.336175368</v>
      </c>
      <c r="R60" s="123">
        <f t="shared" si="20"/>
        <v>3649134.6527423626</v>
      </c>
      <c r="S60" s="123">
        <f t="shared" si="20"/>
        <v>3831591.385137707</v>
      </c>
      <c r="T60" s="123">
        <f t="shared" si="20"/>
        <v>4023170.9541528183</v>
      </c>
      <c r="U60" s="123">
        <f t="shared" si="20"/>
        <v>4224329.501618685</v>
      </c>
      <c r="V60" s="123">
        <f t="shared" si="20"/>
        <v>4435545.976457845</v>
      </c>
      <c r="W60" s="123">
        <f t="shared" si="20"/>
        <v>4657323.275038964</v>
      </c>
      <c r="X60" s="123">
        <f t="shared" si="20"/>
        <v>4890189.438549139</v>
      </c>
      <c r="Y60" s="123">
        <f t="shared" si="20"/>
        <v>5134698.910234822</v>
      </c>
      <c r="Z60" s="123">
        <f t="shared" si="20"/>
        <v>5391433.855504789</v>
      </c>
      <c r="AA60" s="123">
        <f t="shared" si="20"/>
        <v>5661005.5480382545</v>
      </c>
      <c r="AB60" s="123">
        <f t="shared" si="20"/>
        <v>5944055.825198393</v>
      </c>
      <c r="AC60" s="123">
        <f t="shared" si="20"/>
        <v>6241258.616216539</v>
      </c>
      <c r="AD60" s="123">
        <f t="shared" si="20"/>
        <v>6553321.546785592</v>
      </c>
      <c r="AE60" s="123">
        <f t="shared" si="20"/>
        <v>6880987.623883097</v>
      </c>
      <c r="AF60" s="123">
        <f t="shared" si="20"/>
        <v>7225037.004835478</v>
      </c>
    </row>
    <row r="61" spans="4:32" ht="12.75">
      <c r="D61" s="122"/>
      <c r="E61" s="18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row>
    <row r="62" spans="1:32" ht="25.5">
      <c r="A62" s="77" t="s">
        <v>184</v>
      </c>
      <c r="D62" s="123">
        <v>1319312</v>
      </c>
      <c r="E62" s="181"/>
      <c r="F62" s="123">
        <f>+D62-F54</f>
        <v>1319312</v>
      </c>
      <c r="G62" s="123">
        <f>+'[1]Balans'!$H$10</f>
        <v>957379.23</v>
      </c>
      <c r="H62" s="123">
        <f>+G62+H54</f>
        <v>957379.23</v>
      </c>
      <c r="I62" s="123">
        <v>957379</v>
      </c>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row>
    <row r="63" spans="4:32" ht="12.75">
      <c r="D63" s="122"/>
      <c r="E63" s="18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row>
    <row r="64" spans="4:32" ht="12.75">
      <c r="D64" s="122"/>
      <c r="E64" s="18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row>
    <row r="65" spans="4:32" ht="12.75">
      <c r="D65" s="122"/>
      <c r="E65" s="18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row>
  </sheetData>
  <mergeCells count="1">
    <mergeCell ref="A1:O1"/>
  </mergeCells>
  <printOptions/>
  <pageMargins left="0.1968503937007874" right="0.1968503937007874" top="0.2755905511811024" bottom="0.1968503937007874" header="0.15748031496062992" footer="0.1968503937007874"/>
  <pageSetup horizontalDpi="600" verticalDpi="600" orientation="landscape" paperSize="9" scale="85" r:id="rId1"/>
  <rowBreaks count="1" manualBreakCount="1">
    <brk id="33" max="20" man="1"/>
  </rowBreaks>
</worksheet>
</file>

<file path=xl/worksheets/sheet4.xml><?xml version="1.0" encoding="utf-8"?>
<worksheet xmlns="http://schemas.openxmlformats.org/spreadsheetml/2006/main" xmlns:r="http://schemas.openxmlformats.org/officeDocument/2006/relationships">
  <dimension ref="A1:H34"/>
  <sheetViews>
    <sheetView workbookViewId="0" topLeftCell="A4">
      <selection activeCell="I34" sqref="I34"/>
    </sheetView>
  </sheetViews>
  <sheetFormatPr defaultColWidth="9.140625" defaultRowHeight="12.75"/>
  <cols>
    <col min="3" max="3" width="3.28125" style="0" customWidth="1"/>
    <col min="4" max="4" width="13.28125" style="0" customWidth="1"/>
    <col min="5" max="5" width="14.140625" style="0" customWidth="1"/>
    <col min="6" max="6" width="3.7109375" style="0" customWidth="1"/>
    <col min="7" max="7" width="13.00390625" style="0" customWidth="1"/>
    <col min="8" max="8" width="16.00390625" style="0" customWidth="1"/>
  </cols>
  <sheetData>
    <row r="1" spans="1:8" ht="18.75">
      <c r="A1" s="211" t="s">
        <v>127</v>
      </c>
      <c r="B1" s="211"/>
      <c r="C1" s="211"/>
      <c r="D1" s="211"/>
      <c r="E1" s="211"/>
      <c r="F1" s="211"/>
      <c r="G1" s="211"/>
      <c r="H1" s="211"/>
    </row>
    <row r="2" spans="1:8" ht="13.5" thickBot="1">
      <c r="A2" s="88"/>
      <c r="B2" s="88"/>
      <c r="C2" s="88"/>
      <c r="D2" s="93"/>
      <c r="E2" s="93"/>
      <c r="F2" s="88"/>
      <c r="G2" s="93"/>
      <c r="H2" s="93"/>
    </row>
    <row r="3" spans="1:8" ht="15.75">
      <c r="A3" s="212" t="s">
        <v>128</v>
      </c>
      <c r="B3" s="213"/>
      <c r="C3" s="94"/>
      <c r="D3" s="214" t="s">
        <v>129</v>
      </c>
      <c r="E3" s="215"/>
      <c r="F3" s="95"/>
      <c r="G3" s="214" t="s">
        <v>130</v>
      </c>
      <c r="H3" s="215"/>
    </row>
    <row r="4" spans="1:8" ht="15.75">
      <c r="A4" s="96"/>
      <c r="B4" s="97"/>
      <c r="C4" s="98"/>
      <c r="D4" s="209">
        <v>0.05</v>
      </c>
      <c r="E4" s="210"/>
      <c r="F4" s="99"/>
      <c r="G4" s="209">
        <v>0.05</v>
      </c>
      <c r="H4" s="210"/>
    </row>
    <row r="5" spans="1:8" ht="16.5" thickBot="1">
      <c r="A5" s="100"/>
      <c r="B5" s="101"/>
      <c r="C5" s="98"/>
      <c r="D5" s="102" t="s">
        <v>131</v>
      </c>
      <c r="E5" s="103" t="s">
        <v>132</v>
      </c>
      <c r="F5" s="99"/>
      <c r="G5" s="102" t="s">
        <v>133</v>
      </c>
      <c r="H5" s="103" t="s">
        <v>132</v>
      </c>
    </row>
    <row r="6" spans="1:8" ht="15.75">
      <c r="A6" s="104">
        <v>39082</v>
      </c>
      <c r="B6" s="105">
        <v>2004</v>
      </c>
      <c r="C6" s="98"/>
      <c r="D6" s="106"/>
      <c r="E6" s="107"/>
      <c r="F6" s="98"/>
      <c r="G6" s="108"/>
      <c r="H6" s="109">
        <f>SUM(H7-G7)</f>
        <v>1843060.966823354</v>
      </c>
    </row>
    <row r="7" spans="1:8" ht="15.75">
      <c r="A7" s="104">
        <v>39082</v>
      </c>
      <c r="B7" s="105">
        <v>2005</v>
      </c>
      <c r="C7" s="99"/>
      <c r="D7" s="110"/>
      <c r="E7" s="111">
        <v>3162373</v>
      </c>
      <c r="F7" s="112"/>
      <c r="G7" s="113">
        <f aca="true" t="shared" si="0" ref="G7:G33">SUM(H7/1.05)*$G$4</f>
        <v>92153.04834116768</v>
      </c>
      <c r="H7" s="114">
        <f aca="true" t="shared" si="1" ref="H7:H32">SUM(H8-G8)</f>
        <v>1935214.0151645215</v>
      </c>
    </row>
    <row r="8" spans="1:8" ht="15.75">
      <c r="A8" s="104">
        <v>39082</v>
      </c>
      <c r="B8" s="105">
        <v>2006</v>
      </c>
      <c r="C8" s="99"/>
      <c r="D8" s="110">
        <f>SUM(E7*$D$4)</f>
        <v>158118.65000000002</v>
      </c>
      <c r="E8" s="115">
        <f>SUM(E7+D8)</f>
        <v>3320491.65</v>
      </c>
      <c r="F8" s="112"/>
      <c r="G8" s="113">
        <f t="shared" si="0"/>
        <v>96760.70075822607</v>
      </c>
      <c r="H8" s="114">
        <f t="shared" si="1"/>
        <v>2031974.7159227475</v>
      </c>
    </row>
    <row r="9" spans="1:8" ht="15.75">
      <c r="A9" s="104">
        <v>39082</v>
      </c>
      <c r="B9" s="105">
        <f>+B8+1</f>
        <v>2007</v>
      </c>
      <c r="C9" s="99"/>
      <c r="D9" s="110">
        <f aca="true" t="shared" si="2" ref="D9:D34">SUM(E8*$D$4)</f>
        <v>166024.58250000002</v>
      </c>
      <c r="E9" s="115">
        <f>SUM(E8+D9)</f>
        <v>3486516.2325</v>
      </c>
      <c r="F9" s="112"/>
      <c r="G9" s="113">
        <f t="shared" si="0"/>
        <v>101598.73579613738</v>
      </c>
      <c r="H9" s="114">
        <f t="shared" si="1"/>
        <v>2133573.451718885</v>
      </c>
    </row>
    <row r="10" spans="1:8" ht="15.75">
      <c r="A10" s="104">
        <v>39082</v>
      </c>
      <c r="B10" s="105">
        <f aca="true" t="shared" si="3" ref="B10:B34">+B9+1</f>
        <v>2008</v>
      </c>
      <c r="C10" s="99"/>
      <c r="D10" s="110">
        <f t="shared" si="2"/>
        <v>174325.811625</v>
      </c>
      <c r="E10" s="115">
        <f aca="true" t="shared" si="4" ref="E10:E34">SUM(E9+D10)</f>
        <v>3660842.044125</v>
      </c>
      <c r="F10" s="112"/>
      <c r="G10" s="113">
        <f t="shared" si="0"/>
        <v>106678.67258594425</v>
      </c>
      <c r="H10" s="114">
        <f t="shared" si="1"/>
        <v>2240252.124304829</v>
      </c>
    </row>
    <row r="11" spans="1:8" ht="15.75">
      <c r="A11" s="104">
        <v>39082</v>
      </c>
      <c r="B11" s="105">
        <f t="shared" si="3"/>
        <v>2009</v>
      </c>
      <c r="C11" s="99"/>
      <c r="D11" s="110">
        <f t="shared" si="2"/>
        <v>183042.10220625</v>
      </c>
      <c r="E11" s="115">
        <f t="shared" si="4"/>
        <v>3843884.14633125</v>
      </c>
      <c r="F11" s="112"/>
      <c r="G11" s="113">
        <f t="shared" si="0"/>
        <v>112012.60621524147</v>
      </c>
      <c r="H11" s="114">
        <f t="shared" si="1"/>
        <v>2352264.7305200705</v>
      </c>
    </row>
    <row r="12" spans="1:8" ht="15.75">
      <c r="A12" s="104">
        <v>39082</v>
      </c>
      <c r="B12" s="105">
        <f t="shared" si="3"/>
        <v>2010</v>
      </c>
      <c r="C12" s="99"/>
      <c r="D12" s="110">
        <f t="shared" si="2"/>
        <v>192194.20731656253</v>
      </c>
      <c r="E12" s="115">
        <f t="shared" si="4"/>
        <v>4036078.3536478127</v>
      </c>
      <c r="F12" s="112"/>
      <c r="G12" s="113">
        <f t="shared" si="0"/>
        <v>117613.23652600353</v>
      </c>
      <c r="H12" s="114">
        <f t="shared" si="1"/>
        <v>2469877.967046074</v>
      </c>
    </row>
    <row r="13" spans="1:8" ht="15.75">
      <c r="A13" s="104">
        <v>39082</v>
      </c>
      <c r="B13" s="105">
        <f t="shared" si="3"/>
        <v>2011</v>
      </c>
      <c r="C13" s="99"/>
      <c r="D13" s="110">
        <f t="shared" si="2"/>
        <v>201803.91768239066</v>
      </c>
      <c r="E13" s="115">
        <f t="shared" si="4"/>
        <v>4237882.271330204</v>
      </c>
      <c r="F13" s="112"/>
      <c r="G13" s="113">
        <f t="shared" si="0"/>
        <v>123493.89835230369</v>
      </c>
      <c r="H13" s="114">
        <f t="shared" si="1"/>
        <v>2593371.8653983776</v>
      </c>
    </row>
    <row r="14" spans="1:8" ht="15.75">
      <c r="A14" s="104">
        <v>39082</v>
      </c>
      <c r="B14" s="105">
        <f t="shared" si="3"/>
        <v>2012</v>
      </c>
      <c r="C14" s="99"/>
      <c r="D14" s="110">
        <f t="shared" si="2"/>
        <v>211894.1135665102</v>
      </c>
      <c r="E14" s="115">
        <f t="shared" si="4"/>
        <v>4449776.384896714</v>
      </c>
      <c r="F14" s="112"/>
      <c r="G14" s="113">
        <f t="shared" si="0"/>
        <v>129668.59326991889</v>
      </c>
      <c r="H14" s="114">
        <f t="shared" si="1"/>
        <v>2723040.4586682967</v>
      </c>
    </row>
    <row r="15" spans="1:8" ht="15.75">
      <c r="A15" s="104">
        <v>39082</v>
      </c>
      <c r="B15" s="105">
        <f t="shared" si="3"/>
        <v>2013</v>
      </c>
      <c r="C15" s="99"/>
      <c r="D15" s="110">
        <f t="shared" si="2"/>
        <v>222488.81924483573</v>
      </c>
      <c r="E15" s="115">
        <f t="shared" si="4"/>
        <v>4672265.20414155</v>
      </c>
      <c r="F15" s="112"/>
      <c r="G15" s="113">
        <f t="shared" si="0"/>
        <v>136152.02293341482</v>
      </c>
      <c r="H15" s="114">
        <f t="shared" si="1"/>
        <v>2859192.4816017114</v>
      </c>
    </row>
    <row r="16" spans="1:8" ht="15.75">
      <c r="A16" s="104">
        <v>39082</v>
      </c>
      <c r="B16" s="105">
        <f t="shared" si="3"/>
        <v>2014</v>
      </c>
      <c r="C16" s="99"/>
      <c r="D16" s="110">
        <f t="shared" si="2"/>
        <v>233613.2602070775</v>
      </c>
      <c r="E16" s="115">
        <f t="shared" si="4"/>
        <v>4905878.464348627</v>
      </c>
      <c r="F16" s="112"/>
      <c r="G16" s="113">
        <f t="shared" si="0"/>
        <v>142959.62408008557</v>
      </c>
      <c r="H16" s="114">
        <f t="shared" si="1"/>
        <v>3002152.105681797</v>
      </c>
    </row>
    <row r="17" spans="1:8" ht="15.75">
      <c r="A17" s="104">
        <v>39082</v>
      </c>
      <c r="B17" s="105">
        <f t="shared" si="3"/>
        <v>2015</v>
      </c>
      <c r="C17" s="99"/>
      <c r="D17" s="110">
        <f t="shared" si="2"/>
        <v>245293.92321743138</v>
      </c>
      <c r="E17" s="115">
        <f t="shared" si="4"/>
        <v>5151172.387566059</v>
      </c>
      <c r="F17" s="112"/>
      <c r="G17" s="113">
        <f t="shared" si="0"/>
        <v>150107.60528408983</v>
      </c>
      <c r="H17" s="114">
        <f t="shared" si="1"/>
        <v>3152259.7109658867</v>
      </c>
    </row>
    <row r="18" spans="1:8" ht="15.75">
      <c r="A18" s="104">
        <v>39082</v>
      </c>
      <c r="B18" s="105">
        <f t="shared" si="3"/>
        <v>2016</v>
      </c>
      <c r="C18" s="99"/>
      <c r="D18" s="110">
        <f t="shared" si="2"/>
        <v>257558.61937830294</v>
      </c>
      <c r="E18" s="115">
        <f t="shared" si="4"/>
        <v>5408731.006944362</v>
      </c>
      <c r="F18" s="112"/>
      <c r="G18" s="113">
        <f t="shared" si="0"/>
        <v>157612.98554829432</v>
      </c>
      <c r="H18" s="114">
        <f t="shared" si="1"/>
        <v>3309872.696514181</v>
      </c>
    </row>
    <row r="19" spans="1:8" ht="15.75">
      <c r="A19" s="104">
        <v>39082</v>
      </c>
      <c r="B19" s="105">
        <f t="shared" si="3"/>
        <v>2017</v>
      </c>
      <c r="C19" s="99"/>
      <c r="D19" s="110">
        <f t="shared" si="2"/>
        <v>270436.5503472181</v>
      </c>
      <c r="E19" s="115">
        <f t="shared" si="4"/>
        <v>5679167.55729158</v>
      </c>
      <c r="F19" s="112"/>
      <c r="G19" s="113">
        <f t="shared" si="0"/>
        <v>165493.63482570904</v>
      </c>
      <c r="H19" s="114">
        <f t="shared" si="1"/>
        <v>3475366.33133989</v>
      </c>
    </row>
    <row r="20" spans="1:8" ht="15.75">
      <c r="A20" s="104">
        <v>39082</v>
      </c>
      <c r="B20" s="105">
        <f t="shared" si="3"/>
        <v>2018</v>
      </c>
      <c r="C20" s="99"/>
      <c r="D20" s="110">
        <f t="shared" si="2"/>
        <v>283958.37786457903</v>
      </c>
      <c r="E20" s="115">
        <f t="shared" si="4"/>
        <v>5963125.935156159</v>
      </c>
      <c r="F20" s="112"/>
      <c r="G20" s="113">
        <f t="shared" si="0"/>
        <v>173768.3165669945</v>
      </c>
      <c r="H20" s="114">
        <f t="shared" si="1"/>
        <v>3649134.6479068846</v>
      </c>
    </row>
    <row r="21" spans="1:8" ht="15.75">
      <c r="A21" s="104">
        <v>39082</v>
      </c>
      <c r="B21" s="105">
        <f t="shared" si="3"/>
        <v>2019</v>
      </c>
      <c r="C21" s="99"/>
      <c r="D21" s="110">
        <f t="shared" si="2"/>
        <v>298156.29675780796</v>
      </c>
      <c r="E21" s="115">
        <f t="shared" si="4"/>
        <v>6261282.231913967</v>
      </c>
      <c r="F21" s="112"/>
      <c r="G21" s="113">
        <f t="shared" si="0"/>
        <v>182456.73239534424</v>
      </c>
      <c r="H21" s="114">
        <f t="shared" si="1"/>
        <v>3831591.380302229</v>
      </c>
    </row>
    <row r="22" spans="1:8" ht="15.75">
      <c r="A22" s="104">
        <v>39082</v>
      </c>
      <c r="B22" s="105">
        <f t="shared" si="3"/>
        <v>2020</v>
      </c>
      <c r="C22" s="99"/>
      <c r="D22" s="110">
        <f t="shared" si="2"/>
        <v>313064.11159569834</v>
      </c>
      <c r="E22" s="115">
        <f t="shared" si="4"/>
        <v>6574346.343509666</v>
      </c>
      <c r="F22" s="112"/>
      <c r="G22" s="113">
        <f t="shared" si="0"/>
        <v>191579.56901511142</v>
      </c>
      <c r="H22" s="114">
        <f t="shared" si="1"/>
        <v>4023170.9493173403</v>
      </c>
    </row>
    <row r="23" spans="1:8" ht="15.75">
      <c r="A23" s="104">
        <v>39082</v>
      </c>
      <c r="B23" s="105">
        <f t="shared" si="3"/>
        <v>2021</v>
      </c>
      <c r="C23" s="99"/>
      <c r="D23" s="110">
        <f t="shared" si="2"/>
        <v>328717.31717548333</v>
      </c>
      <c r="E23" s="115">
        <f t="shared" si="4"/>
        <v>6903063.660685149</v>
      </c>
      <c r="F23" s="112"/>
      <c r="G23" s="113">
        <f t="shared" si="0"/>
        <v>201158.547465867</v>
      </c>
      <c r="H23" s="114">
        <f t="shared" si="1"/>
        <v>4224329.496783207</v>
      </c>
    </row>
    <row r="24" spans="1:8" ht="15.75">
      <c r="A24" s="104">
        <v>39082</v>
      </c>
      <c r="B24" s="105">
        <f t="shared" si="3"/>
        <v>2022</v>
      </c>
      <c r="C24" s="99"/>
      <c r="D24" s="110">
        <f t="shared" si="2"/>
        <v>345153.1830342575</v>
      </c>
      <c r="E24" s="115">
        <f t="shared" si="4"/>
        <v>7248216.843719406</v>
      </c>
      <c r="F24" s="112"/>
      <c r="G24" s="113">
        <f t="shared" si="0"/>
        <v>211216.47483916036</v>
      </c>
      <c r="H24" s="114">
        <f t="shared" si="1"/>
        <v>4435545.971622367</v>
      </c>
    </row>
    <row r="25" spans="1:8" ht="15.75">
      <c r="A25" s="104">
        <v>39082</v>
      </c>
      <c r="B25" s="105">
        <f t="shared" si="3"/>
        <v>2023</v>
      </c>
      <c r="C25" s="99"/>
      <c r="D25" s="110">
        <f t="shared" si="2"/>
        <v>362410.84218597034</v>
      </c>
      <c r="E25" s="115">
        <f t="shared" si="4"/>
        <v>7610627.685905376</v>
      </c>
      <c r="F25" s="112"/>
      <c r="G25" s="113">
        <f t="shared" si="0"/>
        <v>221777.29858111838</v>
      </c>
      <c r="H25" s="114">
        <f t="shared" si="1"/>
        <v>4657323.270203486</v>
      </c>
    </row>
    <row r="26" spans="1:8" ht="15.75">
      <c r="A26" s="104">
        <v>39082</v>
      </c>
      <c r="B26" s="105">
        <f t="shared" si="3"/>
        <v>2024</v>
      </c>
      <c r="C26" s="99"/>
      <c r="D26" s="110">
        <f t="shared" si="2"/>
        <v>380531.38429526886</v>
      </c>
      <c r="E26" s="115">
        <f t="shared" si="4"/>
        <v>7991159.070200645</v>
      </c>
      <c r="F26" s="112"/>
      <c r="G26" s="113">
        <f t="shared" si="0"/>
        <v>232866.16351017432</v>
      </c>
      <c r="H26" s="114">
        <f t="shared" si="1"/>
        <v>4890189.433713661</v>
      </c>
    </row>
    <row r="27" spans="1:8" ht="15.75">
      <c r="A27" s="104">
        <v>39082</v>
      </c>
      <c r="B27" s="105">
        <f t="shared" si="3"/>
        <v>2025</v>
      </c>
      <c r="C27" s="99"/>
      <c r="D27" s="110">
        <f t="shared" si="2"/>
        <v>399557.95351003227</v>
      </c>
      <c r="E27" s="115">
        <f t="shared" si="4"/>
        <v>8390717.023710677</v>
      </c>
      <c r="F27" s="112"/>
      <c r="G27" s="113">
        <f t="shared" si="0"/>
        <v>244509.47168568303</v>
      </c>
      <c r="H27" s="114">
        <f t="shared" si="1"/>
        <v>5134698.905399344</v>
      </c>
    </row>
    <row r="28" spans="1:8" ht="15.75">
      <c r="A28" s="104">
        <v>39082</v>
      </c>
      <c r="B28" s="105">
        <f t="shared" si="3"/>
        <v>2026</v>
      </c>
      <c r="C28" s="99"/>
      <c r="D28" s="110">
        <f t="shared" si="2"/>
        <v>419535.8511855339</v>
      </c>
      <c r="E28" s="115">
        <f t="shared" si="4"/>
        <v>8810252.874896212</v>
      </c>
      <c r="F28" s="112"/>
      <c r="G28" s="113">
        <f t="shared" si="0"/>
        <v>256734.9452699672</v>
      </c>
      <c r="H28" s="114">
        <f t="shared" si="1"/>
        <v>5391433.850669311</v>
      </c>
    </row>
    <row r="29" spans="1:8" ht="15.75">
      <c r="A29" s="104">
        <v>39082</v>
      </c>
      <c r="B29" s="105">
        <f t="shared" si="3"/>
        <v>2027</v>
      </c>
      <c r="C29" s="99"/>
      <c r="D29" s="110">
        <f t="shared" si="2"/>
        <v>440512.6437448106</v>
      </c>
      <c r="E29" s="115">
        <f t="shared" si="4"/>
        <v>9250765.518641023</v>
      </c>
      <c r="F29" s="112"/>
      <c r="G29" s="113">
        <f t="shared" si="0"/>
        <v>269571.6925334655</v>
      </c>
      <c r="H29" s="114">
        <f t="shared" si="1"/>
        <v>5661005.543202776</v>
      </c>
    </row>
    <row r="30" spans="1:8" ht="15.75">
      <c r="A30" s="104">
        <v>39082</v>
      </c>
      <c r="B30" s="105">
        <f t="shared" si="3"/>
        <v>2028</v>
      </c>
      <c r="C30" s="99"/>
      <c r="D30" s="110">
        <f t="shared" si="2"/>
        <v>462538.2759320512</v>
      </c>
      <c r="E30" s="115">
        <f t="shared" si="4"/>
        <v>9713303.794573074</v>
      </c>
      <c r="F30" s="112"/>
      <c r="G30" s="113">
        <f t="shared" si="0"/>
        <v>283050.2771601388</v>
      </c>
      <c r="H30" s="114">
        <f t="shared" si="1"/>
        <v>5944055.820362915</v>
      </c>
    </row>
    <row r="31" spans="1:8" ht="15.75">
      <c r="A31" s="104">
        <v>39082</v>
      </c>
      <c r="B31" s="105">
        <f t="shared" si="3"/>
        <v>2029</v>
      </c>
      <c r="C31" s="99"/>
      <c r="D31" s="110">
        <f t="shared" si="2"/>
        <v>485665.18972865376</v>
      </c>
      <c r="E31" s="115">
        <f t="shared" si="4"/>
        <v>10198968.984301727</v>
      </c>
      <c r="F31" s="112"/>
      <c r="G31" s="113">
        <f t="shared" si="0"/>
        <v>297202.7910181458</v>
      </c>
      <c r="H31" s="114">
        <f t="shared" si="1"/>
        <v>6241258.611381061</v>
      </c>
    </row>
    <row r="32" spans="1:8" ht="15.75">
      <c r="A32" s="104">
        <v>39082</v>
      </c>
      <c r="B32" s="105">
        <f t="shared" si="3"/>
        <v>2030</v>
      </c>
      <c r="C32" s="99"/>
      <c r="D32" s="110">
        <f t="shared" si="2"/>
        <v>509948.4492150864</v>
      </c>
      <c r="E32" s="115">
        <f t="shared" si="4"/>
        <v>10708917.433516813</v>
      </c>
      <c r="F32" s="112"/>
      <c r="G32" s="113">
        <f t="shared" si="0"/>
        <v>312062.93056905305</v>
      </c>
      <c r="H32" s="114">
        <f t="shared" si="1"/>
        <v>6553321.541950114</v>
      </c>
    </row>
    <row r="33" spans="1:8" ht="15.75">
      <c r="A33" s="104">
        <v>39082</v>
      </c>
      <c r="B33" s="105">
        <f t="shared" si="3"/>
        <v>2031</v>
      </c>
      <c r="C33" s="99"/>
      <c r="D33" s="110">
        <f t="shared" si="2"/>
        <v>535445.8716758407</v>
      </c>
      <c r="E33" s="115">
        <f t="shared" si="4"/>
        <v>11244363.305192655</v>
      </c>
      <c r="F33" s="112"/>
      <c r="G33" s="113">
        <f t="shared" si="0"/>
        <v>327666.0770975057</v>
      </c>
      <c r="H33" s="114">
        <f>SUM(H34-G34)</f>
        <v>6880987.619047619</v>
      </c>
    </row>
    <row r="34" spans="1:8" ht="16.5" thickBot="1">
      <c r="A34" s="116">
        <v>39082</v>
      </c>
      <c r="B34" s="117">
        <f t="shared" si="3"/>
        <v>2032</v>
      </c>
      <c r="C34" s="99"/>
      <c r="D34" s="118">
        <f t="shared" si="2"/>
        <v>562218.1652596327</v>
      </c>
      <c r="E34" s="119">
        <f t="shared" si="4"/>
        <v>11806581.470452288</v>
      </c>
      <c r="F34" s="112"/>
      <c r="G34" s="120">
        <f>SUM(H34/1.05)*$G$4</f>
        <v>344049.38095238095</v>
      </c>
      <c r="H34" s="121">
        <v>7225037</v>
      </c>
    </row>
  </sheetData>
  <mergeCells count="6">
    <mergeCell ref="D4:E4"/>
    <mergeCell ref="G4:H4"/>
    <mergeCell ref="A1:H1"/>
    <mergeCell ref="A3:B3"/>
    <mergeCell ref="D3:E3"/>
    <mergeCell ref="G3:H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view="pageBreakPreview" zoomScale="60" zoomScaleNormal="75" workbookViewId="0" topLeftCell="A1">
      <selection activeCell="I34" sqref="I34"/>
    </sheetView>
  </sheetViews>
  <sheetFormatPr defaultColWidth="9.140625" defaultRowHeight="12.75"/>
  <cols>
    <col min="2" max="2" width="11.8515625" style="0" customWidth="1"/>
    <col min="3" max="3" width="12.421875" style="0" customWidth="1"/>
    <col min="4" max="4" width="15.57421875" style="0" customWidth="1"/>
    <col min="6" max="7" width="13.421875" style="0" bestFit="1" customWidth="1"/>
    <col min="8" max="9" width="13.00390625" style="0" bestFit="1" customWidth="1"/>
    <col min="10" max="10" width="13.421875" style="0" bestFit="1" customWidth="1"/>
    <col min="11" max="12" width="13.00390625" style="0" bestFit="1" customWidth="1"/>
    <col min="13" max="14" width="12.00390625" style="0" bestFit="1" customWidth="1"/>
    <col min="15" max="15" width="9.421875" style="0" bestFit="1" customWidth="1"/>
    <col min="16" max="16" width="8.421875" style="0" bestFit="1" customWidth="1"/>
    <col min="17" max="18" width="7.00390625" style="0" bestFit="1" customWidth="1"/>
    <col min="19" max="19" width="14.421875" style="0" bestFit="1" customWidth="1"/>
    <col min="20" max="20" width="5.57421875" style="0" bestFit="1" customWidth="1"/>
  </cols>
  <sheetData>
    <row r="1" spans="1:20" ht="16.5" thickBot="1">
      <c r="A1" s="127" t="s">
        <v>134</v>
      </c>
      <c r="B1" s="128"/>
      <c r="C1" s="128"/>
      <c r="D1" s="128" t="s">
        <v>135</v>
      </c>
      <c r="E1" s="128"/>
      <c r="F1" s="129">
        <v>2003</v>
      </c>
      <c r="G1" s="129">
        <v>2004</v>
      </c>
      <c r="H1" s="130">
        <v>2005</v>
      </c>
      <c r="I1" s="130">
        <v>2006</v>
      </c>
      <c r="J1" s="130">
        <v>2007</v>
      </c>
      <c r="K1" s="130">
        <v>2008</v>
      </c>
      <c r="L1" s="130">
        <v>2009</v>
      </c>
      <c r="M1" s="130">
        <v>2010</v>
      </c>
      <c r="N1" s="130">
        <v>2011</v>
      </c>
      <c r="O1" s="130">
        <v>2012</v>
      </c>
      <c r="P1" s="130">
        <v>2013</v>
      </c>
      <c r="Q1" s="130">
        <v>2014</v>
      </c>
      <c r="R1" s="130"/>
      <c r="S1" s="130"/>
      <c r="T1" s="130"/>
    </row>
    <row r="2" spans="1:20" ht="15.75">
      <c r="A2" s="131" t="s">
        <v>136</v>
      </c>
      <c r="B2" s="132">
        <v>37805</v>
      </c>
      <c r="C2" s="132">
        <v>40679</v>
      </c>
      <c r="D2" s="133">
        <v>18645</v>
      </c>
      <c r="E2" s="133"/>
      <c r="F2" s="134">
        <v>1143.79</v>
      </c>
      <c r="G2" s="135">
        <v>2373.91</v>
      </c>
      <c r="H2" s="135">
        <v>2373.92</v>
      </c>
      <c r="I2" s="135">
        <v>2373.91</v>
      </c>
      <c r="J2" s="135">
        <v>2373.91</v>
      </c>
      <c r="K2" s="135">
        <v>2373.91</v>
      </c>
      <c r="L2" s="135">
        <v>2373.91</v>
      </c>
      <c r="M2" s="135">
        <v>2373.91</v>
      </c>
      <c r="N2" s="135">
        <v>883.83</v>
      </c>
      <c r="O2" s="135"/>
      <c r="P2" s="135"/>
      <c r="Q2" s="135"/>
      <c r="R2" s="135"/>
      <c r="S2" s="131">
        <f aca="true" t="shared" si="0" ref="S2:S8">SUM(F2:R2)</f>
        <v>18645</v>
      </c>
      <c r="T2" s="131">
        <f aca="true" t="shared" si="1" ref="T2:T8">SUM(S2-D2)</f>
        <v>0</v>
      </c>
    </row>
    <row r="3" spans="1:20" ht="15.75">
      <c r="A3" s="131" t="s">
        <v>137</v>
      </c>
      <c r="B3" s="132">
        <v>37805</v>
      </c>
      <c r="C3" s="132">
        <v>41242</v>
      </c>
      <c r="D3" s="133">
        <v>16169.6</v>
      </c>
      <c r="E3" s="133"/>
      <c r="F3" s="134">
        <v>829.21</v>
      </c>
      <c r="G3" s="135">
        <v>1720.85</v>
      </c>
      <c r="H3" s="135">
        <v>1720.83</v>
      </c>
      <c r="I3" s="135">
        <v>1720.85</v>
      </c>
      <c r="J3" s="135">
        <v>1720.85</v>
      </c>
      <c r="K3" s="135">
        <v>1720.85</v>
      </c>
      <c r="L3" s="135">
        <v>1720.85</v>
      </c>
      <c r="M3" s="135">
        <v>1720.85</v>
      </c>
      <c r="N3" s="135">
        <v>1720.85</v>
      </c>
      <c r="O3" s="135">
        <v>1573.61</v>
      </c>
      <c r="P3" s="135"/>
      <c r="Q3" s="135"/>
      <c r="R3" s="135"/>
      <c r="S3" s="131">
        <f t="shared" si="0"/>
        <v>16169.600000000002</v>
      </c>
      <c r="T3" s="131">
        <f t="shared" si="1"/>
        <v>1.8189894035458565E-12</v>
      </c>
    </row>
    <row r="4" spans="1:20" ht="15.75">
      <c r="A4" s="131" t="s">
        <v>138</v>
      </c>
      <c r="B4" s="132">
        <v>37805</v>
      </c>
      <c r="C4" s="132">
        <v>41430</v>
      </c>
      <c r="D4" s="133">
        <v>17330.4</v>
      </c>
      <c r="E4" s="133"/>
      <c r="F4" s="134">
        <v>842.58</v>
      </c>
      <c r="G4" s="133">
        <v>1749</v>
      </c>
      <c r="H4" s="133">
        <v>1749</v>
      </c>
      <c r="I4" s="133">
        <v>1749</v>
      </c>
      <c r="J4" s="133">
        <v>1749</v>
      </c>
      <c r="K4" s="133">
        <v>1749</v>
      </c>
      <c r="L4" s="133">
        <v>1749</v>
      </c>
      <c r="M4" s="133">
        <v>1749</v>
      </c>
      <c r="N4" s="133">
        <v>1749</v>
      </c>
      <c r="O4" s="133">
        <v>1749</v>
      </c>
      <c r="P4" s="133">
        <v>746.82</v>
      </c>
      <c r="Q4" s="133"/>
      <c r="R4" s="133"/>
      <c r="S4" s="131">
        <f t="shared" si="0"/>
        <v>17330.4</v>
      </c>
      <c r="T4" s="131">
        <f t="shared" si="1"/>
        <v>0</v>
      </c>
    </row>
    <row r="5" spans="1:20" ht="15.75">
      <c r="A5" s="131" t="s">
        <v>139</v>
      </c>
      <c r="B5" s="132">
        <v>37805</v>
      </c>
      <c r="C5" s="132">
        <v>40070</v>
      </c>
      <c r="D5" s="133">
        <v>15017.4</v>
      </c>
      <c r="E5" s="133"/>
      <c r="F5" s="134">
        <v>1169.5</v>
      </c>
      <c r="G5" s="133">
        <v>2428.03</v>
      </c>
      <c r="H5" s="133">
        <v>2428.05</v>
      </c>
      <c r="I5" s="133">
        <v>2428.03</v>
      </c>
      <c r="J5" s="133">
        <v>2428.03</v>
      </c>
      <c r="K5" s="133">
        <v>2428.03</v>
      </c>
      <c r="L5" s="133">
        <v>1707.73</v>
      </c>
      <c r="M5" s="133"/>
      <c r="N5" s="133"/>
      <c r="O5" s="133"/>
      <c r="P5" s="133"/>
      <c r="Q5" s="133"/>
      <c r="R5" s="133"/>
      <c r="S5" s="131">
        <f t="shared" si="0"/>
        <v>15017.400000000001</v>
      </c>
      <c r="T5" s="131">
        <f t="shared" si="1"/>
        <v>1.8189894035458565E-12</v>
      </c>
    </row>
    <row r="6" spans="1:20" ht="15.75">
      <c r="A6" s="131" t="s">
        <v>140</v>
      </c>
      <c r="B6" s="132">
        <v>37805</v>
      </c>
      <c r="C6" s="132" t="s">
        <v>141</v>
      </c>
      <c r="D6" s="133">
        <v>-3902.4</v>
      </c>
      <c r="E6" s="133"/>
      <c r="F6" s="134">
        <v>-194.73</v>
      </c>
      <c r="G6" s="133">
        <v>-404.22</v>
      </c>
      <c r="H6" s="133">
        <v>-404.2</v>
      </c>
      <c r="I6" s="133">
        <v>-404.22</v>
      </c>
      <c r="J6" s="133">
        <v>-404.22</v>
      </c>
      <c r="K6" s="133">
        <v>-404.22</v>
      </c>
      <c r="L6" s="133">
        <v>-404.22</v>
      </c>
      <c r="M6" s="133">
        <v>-404.22</v>
      </c>
      <c r="N6" s="133">
        <v>-404.22</v>
      </c>
      <c r="O6" s="133">
        <v>-404.22</v>
      </c>
      <c r="P6" s="133">
        <v>-69.71</v>
      </c>
      <c r="Q6" s="133"/>
      <c r="R6" s="133"/>
      <c r="S6" s="131">
        <f t="shared" si="0"/>
        <v>-3902.4000000000015</v>
      </c>
      <c r="T6" s="131">
        <f t="shared" si="1"/>
        <v>-1.3642420526593924E-12</v>
      </c>
    </row>
    <row r="7" spans="1:20" ht="15.75">
      <c r="A7" s="131" t="s">
        <v>142</v>
      </c>
      <c r="B7" s="132">
        <v>38183</v>
      </c>
      <c r="C7" s="132">
        <v>41829</v>
      </c>
      <c r="D7" s="133">
        <v>1531.2</v>
      </c>
      <c r="E7" s="133"/>
      <c r="F7" s="134"/>
      <c r="G7" s="133">
        <v>68.97</v>
      </c>
      <c r="H7" s="133">
        <v>153.61</v>
      </c>
      <c r="I7" s="133">
        <v>153.59</v>
      </c>
      <c r="J7" s="133">
        <v>153.59</v>
      </c>
      <c r="K7" s="133">
        <v>153.59</v>
      </c>
      <c r="L7" s="133">
        <v>153.59</v>
      </c>
      <c r="M7" s="133">
        <v>153.59</v>
      </c>
      <c r="N7" s="133">
        <v>153.59</v>
      </c>
      <c r="O7" s="133">
        <v>153.59</v>
      </c>
      <c r="P7" s="133">
        <v>153.59</v>
      </c>
      <c r="Q7" s="133">
        <v>79.9</v>
      </c>
      <c r="R7" s="133"/>
      <c r="S7" s="131">
        <f t="shared" si="0"/>
        <v>1531.2</v>
      </c>
      <c r="T7" s="131">
        <f t="shared" si="1"/>
        <v>0</v>
      </c>
    </row>
    <row r="8" spans="1:20" ht="15.75">
      <c r="A8" s="131" t="s">
        <v>143</v>
      </c>
      <c r="B8" s="132">
        <v>38183</v>
      </c>
      <c r="C8" s="132">
        <v>40352</v>
      </c>
      <c r="D8" s="133">
        <v>-7753.2</v>
      </c>
      <c r="E8" s="133"/>
      <c r="F8" s="134"/>
      <c r="G8" s="133">
        <v>-587.58</v>
      </c>
      <c r="H8" s="133">
        <v>-1308.45</v>
      </c>
      <c r="I8" s="133">
        <v>-1308.44</v>
      </c>
      <c r="J8" s="133">
        <v>-1308.44</v>
      </c>
      <c r="K8" s="133">
        <v>-1308.44</v>
      </c>
      <c r="L8" s="133">
        <v>-1308.44</v>
      </c>
      <c r="M8" s="133">
        <v>-623.41</v>
      </c>
      <c r="N8" s="133"/>
      <c r="O8" s="133"/>
      <c r="P8" s="133"/>
      <c r="Q8" s="133"/>
      <c r="R8" s="133"/>
      <c r="S8" s="131">
        <f t="shared" si="0"/>
        <v>-7753.200000000001</v>
      </c>
      <c r="T8" s="131">
        <f t="shared" si="1"/>
        <v>-9.094947017729282E-13</v>
      </c>
    </row>
    <row r="9" spans="1:20" ht="15.75">
      <c r="A9" s="131"/>
      <c r="B9" s="132"/>
      <c r="C9" s="132"/>
      <c r="D9" s="136">
        <f>SUM(D2:D8)</f>
        <v>57037.99999999999</v>
      </c>
      <c r="E9" s="133"/>
      <c r="F9" s="134"/>
      <c r="G9" s="133"/>
      <c r="H9" s="133"/>
      <c r="I9" s="133"/>
      <c r="J9" s="133"/>
      <c r="K9" s="133"/>
      <c r="L9" s="133"/>
      <c r="M9" s="133"/>
      <c r="N9" s="133"/>
      <c r="O9" s="133"/>
      <c r="P9" s="133"/>
      <c r="Q9" s="133"/>
      <c r="R9" s="133"/>
      <c r="S9" s="131"/>
      <c r="T9" s="131"/>
    </row>
    <row r="10" spans="1:20" ht="15.75">
      <c r="A10" s="131" t="s">
        <v>144</v>
      </c>
      <c r="B10" s="132">
        <v>38539</v>
      </c>
      <c r="C10" s="132">
        <v>42200</v>
      </c>
      <c r="D10" s="133"/>
      <c r="E10" s="133"/>
      <c r="F10" s="134"/>
      <c r="G10" s="133"/>
      <c r="H10" s="133"/>
      <c r="I10" s="133"/>
      <c r="J10" s="133"/>
      <c r="K10" s="133"/>
      <c r="L10" s="133"/>
      <c r="M10" s="133"/>
      <c r="N10" s="133"/>
      <c r="O10" s="133"/>
      <c r="P10" s="133"/>
      <c r="Q10" s="133"/>
      <c r="R10" s="133"/>
      <c r="S10" s="131">
        <f>SUM(F10:R10)</f>
        <v>0</v>
      </c>
      <c r="T10" s="131">
        <f>SUM(S10-D10)</f>
        <v>0</v>
      </c>
    </row>
    <row r="11" spans="1:20" ht="15.75">
      <c r="A11" s="137"/>
      <c r="B11" s="138"/>
      <c r="C11" s="137"/>
      <c r="D11" s="136">
        <f>SUM(D9:D10)</f>
        <v>57037.99999999999</v>
      </c>
      <c r="E11" s="138"/>
      <c r="F11" s="139"/>
      <c r="G11" s="138"/>
      <c r="H11" s="138"/>
      <c r="I11" s="138"/>
      <c r="J11" s="138"/>
      <c r="K11" s="138"/>
      <c r="L11" s="138"/>
      <c r="M11" s="138"/>
      <c r="N11" s="138"/>
      <c r="O11" s="138"/>
      <c r="P11" s="138"/>
      <c r="Q11" s="138"/>
      <c r="R11" s="138"/>
      <c r="S11" s="131"/>
      <c r="T11" s="131"/>
    </row>
    <row r="12" spans="1:20" ht="16.5" thickBot="1">
      <c r="A12" s="137"/>
      <c r="B12" s="138"/>
      <c r="C12" s="138"/>
      <c r="D12" s="138"/>
      <c r="E12" s="140"/>
      <c r="F12" s="141"/>
      <c r="G12" s="140"/>
      <c r="H12" s="140"/>
      <c r="I12" s="140"/>
      <c r="J12" s="140"/>
      <c r="K12" s="140"/>
      <c r="L12" s="140"/>
      <c r="M12" s="140"/>
      <c r="N12" s="140"/>
      <c r="O12" s="140"/>
      <c r="P12" s="140"/>
      <c r="Q12" s="140"/>
      <c r="R12" s="140"/>
      <c r="S12" s="128"/>
      <c r="T12" s="128"/>
    </row>
    <row r="13" spans="1:20" ht="15.75">
      <c r="A13" s="137"/>
      <c r="B13" s="138"/>
      <c r="C13" s="138"/>
      <c r="D13" s="137"/>
      <c r="E13" s="137"/>
      <c r="F13" s="142"/>
      <c r="G13" s="143"/>
      <c r="H13" s="137"/>
      <c r="I13" s="137"/>
      <c r="J13" s="137"/>
      <c r="K13" s="137"/>
      <c r="L13" s="137"/>
      <c r="M13" s="137"/>
      <c r="N13" s="137"/>
      <c r="O13" s="137"/>
      <c r="P13" s="137"/>
      <c r="Q13" s="137"/>
      <c r="R13" s="137"/>
      <c r="S13" s="137"/>
      <c r="T13" s="137"/>
    </row>
    <row r="14" spans="1:20" ht="15.75">
      <c r="A14" s="137"/>
      <c r="B14" s="138"/>
      <c r="C14" s="138"/>
      <c r="D14" s="131"/>
      <c r="E14" s="131"/>
      <c r="F14" s="131">
        <f aca="true" t="shared" si="2" ref="F14:T14">SUM(F2:F12)</f>
        <v>3790.35</v>
      </c>
      <c r="G14" s="131">
        <f t="shared" si="2"/>
        <v>7348.960000000001</v>
      </c>
      <c r="H14" s="131">
        <f t="shared" si="2"/>
        <v>6712.759999999999</v>
      </c>
      <c r="I14" s="131">
        <f t="shared" si="2"/>
        <v>6712.720000000001</v>
      </c>
      <c r="J14" s="131">
        <f t="shared" si="2"/>
        <v>6712.720000000001</v>
      </c>
      <c r="K14" s="131">
        <f t="shared" si="2"/>
        <v>6712.720000000001</v>
      </c>
      <c r="L14" s="131">
        <f t="shared" si="2"/>
        <v>5992.42</v>
      </c>
      <c r="M14" s="131">
        <f t="shared" si="2"/>
        <v>4969.72</v>
      </c>
      <c r="N14" s="131">
        <f t="shared" si="2"/>
        <v>4103.05</v>
      </c>
      <c r="O14" s="131">
        <f t="shared" si="2"/>
        <v>3071.9799999999996</v>
      </c>
      <c r="P14" s="131">
        <f t="shared" si="2"/>
        <v>830.7</v>
      </c>
      <c r="Q14" s="131">
        <f t="shared" si="2"/>
        <v>79.9</v>
      </c>
      <c r="R14" s="131">
        <f t="shared" si="2"/>
        <v>0</v>
      </c>
      <c r="S14" s="131">
        <f t="shared" si="2"/>
        <v>57038</v>
      </c>
      <c r="T14" s="131">
        <f t="shared" si="2"/>
        <v>1.3642420526593924E-12</v>
      </c>
    </row>
    <row r="15" spans="1:20" ht="15.75">
      <c r="A15" s="137"/>
      <c r="B15" s="138"/>
      <c r="C15" s="138"/>
      <c r="D15" s="137"/>
      <c r="E15" s="137"/>
      <c r="F15" s="142"/>
      <c r="G15" s="143"/>
      <c r="H15" s="137"/>
      <c r="I15" s="137"/>
      <c r="J15" s="137"/>
      <c r="K15" s="137"/>
      <c r="L15" s="137"/>
      <c r="M15" s="137"/>
      <c r="N15" s="137"/>
      <c r="O15" s="137"/>
      <c r="P15" s="137"/>
      <c r="Q15" s="137"/>
      <c r="R15" s="137"/>
      <c r="S15" s="137"/>
      <c r="T15" s="137"/>
    </row>
    <row r="16" spans="1:20" ht="15.75">
      <c r="A16" s="137"/>
      <c r="B16" s="216" t="s">
        <v>145</v>
      </c>
      <c r="C16" s="216"/>
      <c r="D16" s="216"/>
      <c r="E16" s="137"/>
      <c r="F16" s="144">
        <f>SUM(+D11-F14)</f>
        <v>53247.649999999994</v>
      </c>
      <c r="G16" s="133">
        <f>SUM(D9-F14-G14)</f>
        <v>45898.689999999995</v>
      </c>
      <c r="H16" s="131">
        <f>SUM(D11-F14-G14-H14)</f>
        <v>39185.92999999999</v>
      </c>
      <c r="I16" s="131"/>
      <c r="J16" s="131"/>
      <c r="K16" s="131"/>
      <c r="L16" s="131"/>
      <c r="M16" s="131"/>
      <c r="N16" s="131"/>
      <c r="O16" s="131"/>
      <c r="P16" s="131"/>
      <c r="Q16" s="131"/>
      <c r="R16" s="137"/>
      <c r="S16" s="137"/>
      <c r="T16" s="137"/>
    </row>
    <row r="17" spans="4:8" ht="15.75">
      <c r="D17" s="145"/>
      <c r="E17" s="145"/>
      <c r="F17" s="145"/>
      <c r="G17" s="145"/>
      <c r="H17" s="145"/>
    </row>
    <row r="18" spans="4:8" ht="15.75">
      <c r="D18" s="145"/>
      <c r="E18" s="145"/>
      <c r="F18" s="146"/>
      <c r="G18" s="146"/>
      <c r="H18" s="145"/>
    </row>
    <row r="19" spans="1:19" ht="15.75">
      <c r="A19" s="131" t="s">
        <v>136</v>
      </c>
      <c r="B19" s="132">
        <v>37805</v>
      </c>
      <c r="C19" s="132">
        <v>40679</v>
      </c>
      <c r="D19" s="133">
        <v>18645</v>
      </c>
      <c r="E19" s="145"/>
      <c r="F19" s="146">
        <f aca="true" t="shared" si="3" ref="F19:F25">SUM(D19-F2)</f>
        <v>17501.21</v>
      </c>
      <c r="G19" s="146">
        <f aca="true" t="shared" si="4" ref="G19:S25">+F19-G2</f>
        <v>15127.3</v>
      </c>
      <c r="H19" s="146">
        <f t="shared" si="4"/>
        <v>12753.38</v>
      </c>
      <c r="I19" s="146">
        <f t="shared" si="4"/>
        <v>10379.47</v>
      </c>
      <c r="J19" s="146">
        <f t="shared" si="4"/>
        <v>8005.5599999999995</v>
      </c>
      <c r="K19" s="146">
        <f t="shared" si="4"/>
        <v>5631.65</v>
      </c>
      <c r="L19" s="146">
        <f t="shared" si="4"/>
        <v>3257.74</v>
      </c>
      <c r="M19" s="146">
        <f t="shared" si="4"/>
        <v>883.8299999999999</v>
      </c>
      <c r="N19" s="146">
        <f t="shared" si="4"/>
        <v>0</v>
      </c>
      <c r="O19" s="146">
        <f t="shared" si="4"/>
        <v>0</v>
      </c>
      <c r="P19" s="146">
        <f t="shared" si="4"/>
        <v>0</v>
      </c>
      <c r="Q19" s="146">
        <f t="shared" si="4"/>
        <v>0</v>
      </c>
      <c r="R19" s="146">
        <f t="shared" si="4"/>
        <v>0</v>
      </c>
      <c r="S19" s="146">
        <f t="shared" si="4"/>
        <v>-18645</v>
      </c>
    </row>
    <row r="20" spans="1:19" ht="15.75">
      <c r="A20" s="131" t="s">
        <v>137</v>
      </c>
      <c r="B20" s="132">
        <v>37805</v>
      </c>
      <c r="C20" s="132">
        <v>41242</v>
      </c>
      <c r="D20" s="133">
        <v>16169.6</v>
      </c>
      <c r="E20" s="145"/>
      <c r="F20" s="146">
        <f t="shared" si="3"/>
        <v>15340.39</v>
      </c>
      <c r="G20" s="146">
        <f t="shared" si="4"/>
        <v>13619.539999999999</v>
      </c>
      <c r="H20" s="146">
        <f t="shared" si="4"/>
        <v>11898.71</v>
      </c>
      <c r="I20" s="146">
        <f t="shared" si="4"/>
        <v>10177.859999999999</v>
      </c>
      <c r="J20" s="146">
        <f t="shared" si="4"/>
        <v>8457.009999999998</v>
      </c>
      <c r="K20" s="146">
        <f t="shared" si="4"/>
        <v>6736.159999999998</v>
      </c>
      <c r="L20" s="146">
        <f t="shared" si="4"/>
        <v>5015.309999999998</v>
      </c>
      <c r="M20" s="146">
        <f t="shared" si="4"/>
        <v>3294.4599999999978</v>
      </c>
      <c r="N20" s="146">
        <f t="shared" si="4"/>
        <v>1573.6099999999979</v>
      </c>
      <c r="O20" s="146">
        <f t="shared" si="4"/>
        <v>-2.0463630789890885E-12</v>
      </c>
      <c r="P20" s="146">
        <f t="shared" si="4"/>
        <v>-2.0463630789890885E-12</v>
      </c>
      <c r="Q20" s="146">
        <f t="shared" si="4"/>
        <v>-2.0463630789890885E-12</v>
      </c>
      <c r="R20" s="146">
        <f t="shared" si="4"/>
        <v>-2.0463630789890885E-12</v>
      </c>
      <c r="S20" s="146">
        <f t="shared" si="4"/>
        <v>-16169.600000000004</v>
      </c>
    </row>
    <row r="21" spans="1:19" ht="15.75">
      <c r="A21" s="131" t="s">
        <v>138</v>
      </c>
      <c r="B21" s="132">
        <v>37805</v>
      </c>
      <c r="C21" s="132">
        <v>41430</v>
      </c>
      <c r="D21" s="133">
        <v>17330.4</v>
      </c>
      <c r="F21" s="146">
        <f t="shared" si="3"/>
        <v>16487.82</v>
      </c>
      <c r="G21" s="146">
        <f t="shared" si="4"/>
        <v>14738.82</v>
      </c>
      <c r="H21" s="146">
        <f t="shared" si="4"/>
        <v>12989.82</v>
      </c>
      <c r="I21" s="146">
        <f t="shared" si="4"/>
        <v>11240.82</v>
      </c>
      <c r="J21" s="146">
        <f t="shared" si="4"/>
        <v>9491.82</v>
      </c>
      <c r="K21" s="146">
        <f t="shared" si="4"/>
        <v>7742.82</v>
      </c>
      <c r="L21" s="146">
        <f t="shared" si="4"/>
        <v>5993.82</v>
      </c>
      <c r="M21" s="146">
        <f t="shared" si="4"/>
        <v>4244.82</v>
      </c>
      <c r="N21" s="146">
        <f t="shared" si="4"/>
        <v>2495.8199999999997</v>
      </c>
      <c r="O21" s="146">
        <f t="shared" si="4"/>
        <v>746.8199999999997</v>
      </c>
      <c r="P21" s="146">
        <f t="shared" si="4"/>
        <v>0</v>
      </c>
      <c r="Q21" s="146">
        <f t="shared" si="4"/>
        <v>0</v>
      </c>
      <c r="R21" s="146">
        <f t="shared" si="4"/>
        <v>0</v>
      </c>
      <c r="S21" s="146">
        <f t="shared" si="4"/>
        <v>-17330.4</v>
      </c>
    </row>
    <row r="22" spans="1:19" ht="15.75">
      <c r="A22" s="131" t="s">
        <v>139</v>
      </c>
      <c r="B22" s="132">
        <v>37805</v>
      </c>
      <c r="C22" s="132">
        <v>40070</v>
      </c>
      <c r="D22" s="133">
        <v>15017.4</v>
      </c>
      <c r="F22" s="146">
        <f t="shared" si="3"/>
        <v>13847.9</v>
      </c>
      <c r="G22" s="146">
        <f t="shared" si="4"/>
        <v>11419.869999999999</v>
      </c>
      <c r="H22" s="146">
        <f t="shared" si="4"/>
        <v>8991.82</v>
      </c>
      <c r="I22" s="146">
        <f t="shared" si="4"/>
        <v>6563.789999999999</v>
      </c>
      <c r="J22" s="146">
        <f t="shared" si="4"/>
        <v>4135.759999999998</v>
      </c>
      <c r="K22" s="146">
        <f t="shared" si="4"/>
        <v>1707.7299999999982</v>
      </c>
      <c r="L22" s="146">
        <f t="shared" si="4"/>
        <v>-1.8189894035458565E-12</v>
      </c>
      <c r="M22" s="146">
        <f t="shared" si="4"/>
        <v>-1.8189894035458565E-12</v>
      </c>
      <c r="N22" s="146">
        <f t="shared" si="4"/>
        <v>-1.8189894035458565E-12</v>
      </c>
      <c r="O22" s="146">
        <f t="shared" si="4"/>
        <v>-1.8189894035458565E-12</v>
      </c>
      <c r="P22" s="146">
        <f t="shared" si="4"/>
        <v>-1.8189894035458565E-12</v>
      </c>
      <c r="Q22" s="146">
        <f t="shared" si="4"/>
        <v>-1.8189894035458565E-12</v>
      </c>
      <c r="R22" s="146">
        <f t="shared" si="4"/>
        <v>-1.8189894035458565E-12</v>
      </c>
      <c r="S22" s="146">
        <f t="shared" si="4"/>
        <v>-15017.400000000003</v>
      </c>
    </row>
    <row r="23" spans="1:19" ht="15.75">
      <c r="A23" s="131" t="s">
        <v>140</v>
      </c>
      <c r="B23" s="132">
        <v>37805</v>
      </c>
      <c r="C23" s="132" t="s">
        <v>141</v>
      </c>
      <c r="D23" s="133">
        <v>-3902.4</v>
      </c>
      <c r="F23" s="146">
        <f t="shared" si="3"/>
        <v>-3707.67</v>
      </c>
      <c r="G23" s="146">
        <f t="shared" si="4"/>
        <v>-3303.45</v>
      </c>
      <c r="H23" s="146">
        <f t="shared" si="4"/>
        <v>-2899.25</v>
      </c>
      <c r="I23" s="146">
        <f t="shared" si="4"/>
        <v>-2495.0299999999997</v>
      </c>
      <c r="J23" s="146">
        <f t="shared" si="4"/>
        <v>-2090.8099999999995</v>
      </c>
      <c r="K23" s="146">
        <f t="shared" si="4"/>
        <v>-1686.5899999999995</v>
      </c>
      <c r="L23" s="146">
        <f t="shared" si="4"/>
        <v>-1282.3699999999994</v>
      </c>
      <c r="M23" s="146">
        <f t="shared" si="4"/>
        <v>-878.1499999999994</v>
      </c>
      <c r="N23" s="146">
        <f t="shared" si="4"/>
        <v>-473.9299999999994</v>
      </c>
      <c r="O23" s="146">
        <f t="shared" si="4"/>
        <v>-69.70999999999935</v>
      </c>
      <c r="P23" s="146">
        <f t="shared" si="4"/>
        <v>6.394884621840902E-13</v>
      </c>
      <c r="Q23" s="146">
        <f t="shared" si="4"/>
        <v>6.394884621840902E-13</v>
      </c>
      <c r="R23" s="146">
        <f t="shared" si="4"/>
        <v>6.394884621840902E-13</v>
      </c>
      <c r="S23" s="146">
        <f t="shared" si="4"/>
        <v>3902.400000000002</v>
      </c>
    </row>
    <row r="24" spans="1:19" ht="15.75">
      <c r="A24" s="131" t="s">
        <v>142</v>
      </c>
      <c r="B24" s="132">
        <v>38183</v>
      </c>
      <c r="C24" s="132">
        <v>41829</v>
      </c>
      <c r="D24" s="133">
        <v>1531.2</v>
      </c>
      <c r="F24" s="146">
        <f t="shared" si="3"/>
        <v>1531.2</v>
      </c>
      <c r="G24" s="146">
        <f t="shared" si="4"/>
        <v>1462.23</v>
      </c>
      <c r="H24" s="146">
        <f t="shared" si="4"/>
        <v>1308.62</v>
      </c>
      <c r="I24" s="146">
        <f t="shared" si="4"/>
        <v>1155.03</v>
      </c>
      <c r="J24" s="146">
        <f t="shared" si="4"/>
        <v>1001.4399999999999</v>
      </c>
      <c r="K24" s="146">
        <f t="shared" si="4"/>
        <v>847.8499999999999</v>
      </c>
      <c r="L24" s="146">
        <f t="shared" si="4"/>
        <v>694.2599999999999</v>
      </c>
      <c r="M24" s="146">
        <f t="shared" si="4"/>
        <v>540.6699999999998</v>
      </c>
      <c r="N24" s="146">
        <f t="shared" si="4"/>
        <v>387.0799999999998</v>
      </c>
      <c r="O24" s="146">
        <f t="shared" si="4"/>
        <v>233.4899999999998</v>
      </c>
      <c r="P24" s="146">
        <f t="shared" si="4"/>
        <v>79.8999999999998</v>
      </c>
      <c r="Q24" s="146">
        <f t="shared" si="4"/>
        <v>-1.9895196601282805E-13</v>
      </c>
      <c r="R24" s="146">
        <f t="shared" si="4"/>
        <v>-1.9895196601282805E-13</v>
      </c>
      <c r="S24" s="146">
        <f t="shared" si="4"/>
        <v>-1531.2000000000003</v>
      </c>
    </row>
    <row r="25" spans="1:19" ht="15.75">
      <c r="A25" s="131" t="s">
        <v>143</v>
      </c>
      <c r="B25" s="132">
        <v>38183</v>
      </c>
      <c r="C25" s="132">
        <v>40352</v>
      </c>
      <c r="D25" s="133">
        <v>-7753.2</v>
      </c>
      <c r="F25" s="146">
        <f t="shared" si="3"/>
        <v>-7753.2</v>
      </c>
      <c r="G25" s="146">
        <f t="shared" si="4"/>
        <v>-7165.62</v>
      </c>
      <c r="H25" s="146">
        <f t="shared" si="4"/>
        <v>-5857.17</v>
      </c>
      <c r="I25" s="146">
        <f t="shared" si="4"/>
        <v>-4548.73</v>
      </c>
      <c r="J25" s="146">
        <f t="shared" si="4"/>
        <v>-3240.2899999999995</v>
      </c>
      <c r="K25" s="146">
        <f t="shared" si="4"/>
        <v>-1931.8499999999995</v>
      </c>
      <c r="L25" s="146">
        <f t="shared" si="4"/>
        <v>-623.4099999999994</v>
      </c>
      <c r="M25" s="146">
        <f t="shared" si="4"/>
        <v>0</v>
      </c>
      <c r="N25" s="146">
        <f t="shared" si="4"/>
        <v>0</v>
      </c>
      <c r="O25" s="146">
        <f t="shared" si="4"/>
        <v>0</v>
      </c>
      <c r="P25" s="146">
        <f t="shared" si="4"/>
        <v>0</v>
      </c>
      <c r="Q25" s="146">
        <f t="shared" si="4"/>
        <v>0</v>
      </c>
      <c r="R25" s="146">
        <f t="shared" si="4"/>
        <v>0</v>
      </c>
      <c r="S25" s="146">
        <f t="shared" si="4"/>
        <v>7753.200000000001</v>
      </c>
    </row>
    <row r="26" spans="1:19" ht="15.75">
      <c r="A26" s="131"/>
      <c r="B26" s="132"/>
      <c r="C26" s="132"/>
      <c r="D26" s="136">
        <f>SUM(D19:D25)</f>
        <v>57037.99999999999</v>
      </c>
      <c r="F26" s="136">
        <f aca="true" t="shared" si="5" ref="F26:S26">SUM(F19:F25)</f>
        <v>53247.65</v>
      </c>
      <c r="G26" s="136">
        <f t="shared" si="5"/>
        <v>45898.69</v>
      </c>
      <c r="H26" s="136">
        <f t="shared" si="5"/>
        <v>39185.93</v>
      </c>
      <c r="I26" s="136">
        <f t="shared" si="5"/>
        <v>32473.209999999995</v>
      </c>
      <c r="J26" s="136">
        <f t="shared" si="5"/>
        <v>25760.489999999994</v>
      </c>
      <c r="K26" s="136">
        <f t="shared" si="5"/>
        <v>19047.769999999997</v>
      </c>
      <c r="L26" s="136">
        <f t="shared" si="5"/>
        <v>13055.349999999997</v>
      </c>
      <c r="M26" s="136">
        <f t="shared" si="5"/>
        <v>8085.629999999996</v>
      </c>
      <c r="N26" s="136">
        <f t="shared" si="5"/>
        <v>3982.5799999999963</v>
      </c>
      <c r="O26" s="136">
        <f t="shared" si="5"/>
        <v>910.5999999999963</v>
      </c>
      <c r="P26" s="136">
        <f t="shared" si="5"/>
        <v>79.89999999999658</v>
      </c>
      <c r="Q26" s="136">
        <f t="shared" si="5"/>
        <v>-3.424815986363683E-12</v>
      </c>
      <c r="R26" s="136">
        <f t="shared" si="5"/>
        <v>-3.424815986363683E-12</v>
      </c>
      <c r="S26" s="136">
        <f t="shared" si="5"/>
        <v>-57038</v>
      </c>
    </row>
    <row r="27" spans="1:4" ht="15.75">
      <c r="A27" s="131" t="s">
        <v>144</v>
      </c>
      <c r="B27" s="132">
        <v>38539</v>
      </c>
      <c r="C27" s="132">
        <v>42200</v>
      </c>
      <c r="D27" s="133"/>
    </row>
    <row r="28" spans="1:19" ht="15.75">
      <c r="A28" s="137"/>
      <c r="B28" s="138"/>
      <c r="C28" s="137"/>
      <c r="D28" s="136">
        <f>SUM(D26:D27)</f>
        <v>57037.99999999999</v>
      </c>
      <c r="F28" s="136">
        <f aca="true" t="shared" si="6" ref="F28:S28">SUM(F26:F27)</f>
        <v>53247.65</v>
      </c>
      <c r="G28" s="136">
        <f t="shared" si="6"/>
        <v>45898.69</v>
      </c>
      <c r="H28" s="136">
        <f t="shared" si="6"/>
        <v>39185.93</v>
      </c>
      <c r="I28" s="136">
        <f t="shared" si="6"/>
        <v>32473.209999999995</v>
      </c>
      <c r="J28" s="136">
        <f t="shared" si="6"/>
        <v>25760.489999999994</v>
      </c>
      <c r="K28" s="136">
        <f t="shared" si="6"/>
        <v>19047.769999999997</v>
      </c>
      <c r="L28" s="136">
        <f t="shared" si="6"/>
        <v>13055.349999999997</v>
      </c>
      <c r="M28" s="136">
        <f t="shared" si="6"/>
        <v>8085.629999999996</v>
      </c>
      <c r="N28" s="136">
        <f t="shared" si="6"/>
        <v>3982.5799999999963</v>
      </c>
      <c r="O28" s="136">
        <f t="shared" si="6"/>
        <v>910.5999999999963</v>
      </c>
      <c r="P28" s="136">
        <f t="shared" si="6"/>
        <v>79.89999999999658</v>
      </c>
      <c r="Q28" s="136">
        <f t="shared" si="6"/>
        <v>-3.424815986363683E-12</v>
      </c>
      <c r="R28" s="136">
        <f t="shared" si="6"/>
        <v>-3.424815986363683E-12</v>
      </c>
      <c r="S28" s="136">
        <f t="shared" si="6"/>
        <v>-57038</v>
      </c>
    </row>
  </sheetData>
  <mergeCells count="1">
    <mergeCell ref="B16:D16"/>
  </mergeCells>
  <printOptions/>
  <pageMargins left="0.75" right="0.75" top="1" bottom="1" header="0.5" footer="0.5"/>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1" sqref="C1:C16384"/>
    </sheetView>
  </sheetViews>
  <sheetFormatPr defaultColWidth="9.140625" defaultRowHeight="12.75"/>
  <cols>
    <col min="1" max="1" width="23.7109375" style="2" customWidth="1"/>
    <col min="2" max="2" width="8.140625" style="7" customWidth="1"/>
    <col min="3" max="3" width="1.7109375" style="7" customWidth="1"/>
    <col min="4" max="4" width="31.7109375" style="2" customWidth="1"/>
    <col min="5" max="5" width="1.7109375" style="2" customWidth="1"/>
    <col min="6" max="6" width="22.7109375" style="2" customWidth="1"/>
    <col min="7" max="7" width="8.140625" style="9" customWidth="1"/>
    <col min="8" max="8" width="1.7109375" style="9" customWidth="1"/>
    <col min="9" max="9" width="31.7109375" style="2" customWidth="1"/>
  </cols>
  <sheetData>
    <row r="1" spans="1:9" s="1" customFormat="1" ht="13.5" thickBot="1">
      <c r="A1" s="32">
        <v>2005</v>
      </c>
      <c r="B1" s="44"/>
      <c r="C1" s="45"/>
      <c r="D1" s="18" t="s">
        <v>49</v>
      </c>
      <c r="E1" s="17"/>
      <c r="F1" s="40"/>
      <c r="G1" s="59"/>
      <c r="H1" s="60"/>
      <c r="I1" s="18"/>
    </row>
    <row r="2" spans="1:9" ht="12.75">
      <c r="A2" s="33"/>
      <c r="B2" s="46"/>
      <c r="C2" s="47"/>
      <c r="D2" s="30"/>
      <c r="E2" s="31"/>
      <c r="F2" s="33"/>
      <c r="G2" s="61"/>
      <c r="H2" s="62"/>
      <c r="I2" s="30"/>
    </row>
    <row r="3" spans="1:9" s="1" customFormat="1" ht="12.75">
      <c r="A3" s="34" t="s">
        <v>0</v>
      </c>
      <c r="B3" s="48"/>
      <c r="C3" s="49"/>
      <c r="D3" s="22"/>
      <c r="E3" s="21"/>
      <c r="F3" s="34" t="s">
        <v>1</v>
      </c>
      <c r="G3" s="63"/>
      <c r="H3" s="64"/>
      <c r="I3" s="22"/>
    </row>
    <row r="4" spans="1:9" s="1" customFormat="1" ht="13.5" thickBot="1">
      <c r="A4" s="35" t="s">
        <v>34</v>
      </c>
      <c r="B4" s="50" t="s">
        <v>35</v>
      </c>
      <c r="C4" s="51"/>
      <c r="D4" s="26" t="s">
        <v>36</v>
      </c>
      <c r="E4" s="25"/>
      <c r="F4" s="35" t="s">
        <v>34</v>
      </c>
      <c r="G4" s="65" t="s">
        <v>35</v>
      </c>
      <c r="H4" s="66"/>
      <c r="I4" s="26" t="s">
        <v>36</v>
      </c>
    </row>
    <row r="5" spans="1:9" ht="56.25">
      <c r="A5" s="36" t="s">
        <v>111</v>
      </c>
      <c r="B5" s="46">
        <f>SUM(G5:G5)</f>
        <v>438900</v>
      </c>
      <c r="C5" s="47"/>
      <c r="D5" s="30"/>
      <c r="E5" s="31"/>
      <c r="F5" s="36" t="s">
        <v>112</v>
      </c>
      <c r="G5" s="67">
        <v>438900</v>
      </c>
      <c r="H5" s="68"/>
      <c r="I5" s="27" t="s">
        <v>110</v>
      </c>
    </row>
    <row r="6" spans="1:9" ht="12.75">
      <c r="A6" s="37"/>
      <c r="B6" s="52"/>
      <c r="C6" s="53"/>
      <c r="D6" s="20"/>
      <c r="E6" s="19"/>
      <c r="F6" s="37"/>
      <c r="G6" s="69"/>
      <c r="H6" s="70"/>
      <c r="I6" s="20"/>
    </row>
    <row r="7" spans="1:9" ht="67.5">
      <c r="A7" s="37" t="s">
        <v>113</v>
      </c>
      <c r="B7" s="52">
        <f>SUM(G16:G23)-SUM(B8:B25)</f>
        <v>128607.20042461736</v>
      </c>
      <c r="C7" s="53"/>
      <c r="D7" s="20" t="s">
        <v>103</v>
      </c>
      <c r="E7" s="19"/>
      <c r="F7" s="37" t="s">
        <v>114</v>
      </c>
      <c r="G7" s="69">
        <v>0</v>
      </c>
      <c r="H7" s="70"/>
      <c r="I7" s="20" t="s">
        <v>50</v>
      </c>
    </row>
    <row r="8" spans="1:9" ht="45">
      <c r="A8" s="37" t="s">
        <v>115</v>
      </c>
      <c r="B8" s="52">
        <v>0</v>
      </c>
      <c r="C8" s="53"/>
      <c r="D8" s="20" t="s">
        <v>51</v>
      </c>
      <c r="E8" s="19"/>
      <c r="F8" s="37"/>
      <c r="G8" s="69"/>
      <c r="H8" s="70"/>
      <c r="I8" s="20"/>
    </row>
    <row r="9" spans="1:9" ht="45">
      <c r="A9" s="37" t="s">
        <v>2</v>
      </c>
      <c r="B9" s="52">
        <f>1.025*'2004'!B9</f>
        <v>1654.7343749999995</v>
      </c>
      <c r="C9" s="53"/>
      <c r="D9" s="20" t="s">
        <v>90</v>
      </c>
      <c r="E9" s="19"/>
      <c r="F9" s="38"/>
      <c r="G9" s="69"/>
      <c r="H9" s="70"/>
      <c r="I9" s="20"/>
    </row>
    <row r="10" spans="1:9" ht="45">
      <c r="A10" s="37" t="s">
        <v>116</v>
      </c>
      <c r="B10" s="52">
        <v>0</v>
      </c>
      <c r="C10" s="53"/>
      <c r="D10" s="20" t="s">
        <v>52</v>
      </c>
      <c r="E10" s="19"/>
      <c r="F10" s="38"/>
      <c r="G10" s="69"/>
      <c r="H10" s="70"/>
      <c r="I10" s="20"/>
    </row>
    <row r="11" spans="1:9" ht="45">
      <c r="A11" s="37" t="s">
        <v>117</v>
      </c>
      <c r="B11" s="52">
        <f>1.025*'2004'!B11</f>
        <v>4727.8125</v>
      </c>
      <c r="C11" s="53"/>
      <c r="D11" s="20" t="s">
        <v>67</v>
      </c>
      <c r="E11" s="19"/>
      <c r="F11" s="38"/>
      <c r="G11" s="69"/>
      <c r="H11" s="70"/>
      <c r="I11" s="20"/>
    </row>
    <row r="12" spans="1:9" ht="68.25" thickBot="1">
      <c r="A12" s="75" t="s">
        <v>118</v>
      </c>
      <c r="B12" s="54">
        <f>1.025*'2004'!B12</f>
        <v>7354.374999999998</v>
      </c>
      <c r="C12" s="55"/>
      <c r="D12" s="29" t="s">
        <v>44</v>
      </c>
      <c r="E12" s="28"/>
      <c r="F12" s="39"/>
      <c r="G12" s="71"/>
      <c r="H12" s="72"/>
      <c r="I12" s="29"/>
    </row>
    <row r="13" spans="1:9" ht="33.75">
      <c r="A13" s="36" t="s">
        <v>119</v>
      </c>
      <c r="B13" s="46">
        <v>0</v>
      </c>
      <c r="C13" s="47"/>
      <c r="D13" s="30" t="s">
        <v>43</v>
      </c>
      <c r="E13" s="31"/>
      <c r="F13" s="33"/>
      <c r="G13" s="61"/>
      <c r="H13" s="62"/>
      <c r="I13" s="30"/>
    </row>
    <row r="14" spans="1:9" ht="45">
      <c r="A14" s="37" t="s">
        <v>3</v>
      </c>
      <c r="B14" s="52">
        <v>3100</v>
      </c>
      <c r="C14" s="53"/>
      <c r="D14" s="20" t="s">
        <v>46</v>
      </c>
      <c r="E14" s="19"/>
      <c r="F14" s="38"/>
      <c r="G14" s="69"/>
      <c r="H14" s="70"/>
      <c r="I14" s="20"/>
    </row>
    <row r="15" spans="1:9" ht="12.75">
      <c r="A15" s="37" t="s">
        <v>120</v>
      </c>
      <c r="B15" s="52"/>
      <c r="C15" s="53"/>
      <c r="D15" s="20"/>
      <c r="E15" s="19"/>
      <c r="F15" s="37" t="s">
        <v>121</v>
      </c>
      <c r="G15" s="69"/>
      <c r="H15" s="70"/>
      <c r="I15" s="20"/>
    </row>
    <row r="16" spans="1:9" ht="33.75">
      <c r="A16" s="38" t="s">
        <v>8</v>
      </c>
      <c r="B16" s="52">
        <v>0</v>
      </c>
      <c r="C16" s="53"/>
      <c r="D16" s="20" t="str">
        <f>'2004'!D16</f>
        <v>Niet van toepassing. Er zijn middelen beschikbaar. Een deel daarvan zal op de rekening-courant blijven staan.</v>
      </c>
      <c r="E16" s="19"/>
      <c r="F16" s="38" t="s">
        <v>4</v>
      </c>
      <c r="G16" s="69">
        <f>5.06/100*3/12*B39</f>
        <v>34750.73932490434</v>
      </c>
      <c r="H16" s="70"/>
      <c r="I16" s="20" t="s">
        <v>73</v>
      </c>
    </row>
    <row r="17" spans="1:9" ht="45">
      <c r="A17" s="38" t="s">
        <v>29</v>
      </c>
      <c r="B17" s="52">
        <v>0</v>
      </c>
      <c r="C17" s="53"/>
      <c r="D17" s="20" t="s">
        <v>105</v>
      </c>
      <c r="E17" s="19"/>
      <c r="F17" s="38"/>
      <c r="G17" s="69">
        <f>5.06/100*9/12*(B39+G5)</f>
        <v>120908.472974713</v>
      </c>
      <c r="H17" s="70"/>
      <c r="I17" s="20" t="s">
        <v>101</v>
      </c>
    </row>
    <row r="18" spans="1:9" ht="12.75">
      <c r="A18" s="38"/>
      <c r="B18" s="52"/>
      <c r="C18" s="53"/>
      <c r="D18" s="20"/>
      <c r="E18" s="19"/>
      <c r="F18" s="38"/>
      <c r="G18" s="69"/>
      <c r="H18" s="70"/>
      <c r="I18" s="20"/>
    </row>
    <row r="19" spans="1:9" ht="22.5">
      <c r="A19" s="38" t="s">
        <v>30</v>
      </c>
      <c r="B19" s="52">
        <v>0</v>
      </c>
      <c r="C19" s="53"/>
      <c r="D19" s="20" t="str">
        <f>'2004'!D19</f>
        <v>Geen bemiddeling, daardoor geen bemiddelingskosten.</v>
      </c>
      <c r="E19" s="19"/>
      <c r="F19" s="38" t="s">
        <v>6</v>
      </c>
      <c r="G19" s="69" t="s">
        <v>41</v>
      </c>
      <c r="H19" s="70"/>
      <c r="I19" s="20"/>
    </row>
    <row r="20" spans="1:9" ht="22.5">
      <c r="A20" s="38" t="str">
        <f>'2004'!A20</f>
        <v>d. aankoopkosten</v>
      </c>
      <c r="B20" s="52">
        <f>+'2004'!B20+(G5*0.3*0.5%)</f>
        <v>3883.35</v>
      </c>
      <c r="C20" s="53"/>
      <c r="D20" s="20" t="str">
        <f>'2004'!D20</f>
        <v>Kosten aandelen + obligaties uitzetting ontvangen heffing.</v>
      </c>
      <c r="E20" s="19"/>
      <c r="F20" s="38"/>
      <c r="G20" s="69"/>
      <c r="H20" s="70"/>
      <c r="I20" s="20"/>
    </row>
    <row r="21" spans="1:9" ht="22.5">
      <c r="A21" s="38" t="str">
        <f>'2004'!A21</f>
        <v>e. bewaarloon</v>
      </c>
      <c r="B21" s="52">
        <f>+'2004'!B21+(G5*0.7*0.05%)</f>
        <v>1078.615</v>
      </c>
      <c r="C21" s="53"/>
      <c r="D21" s="20" t="str">
        <f>'2004'!D21</f>
        <v>Kosten aanhouden effectendepot door bank.</v>
      </c>
      <c r="E21" s="19"/>
      <c r="F21" s="38"/>
      <c r="G21" s="69"/>
      <c r="H21" s="70"/>
      <c r="I21" s="20"/>
    </row>
    <row r="22" spans="1:9" ht="33.75">
      <c r="A22" s="38" t="str">
        <f>'2004'!A22</f>
        <v>f. kosten provincie (vergoeding) Art. 15.47, lid 7 onder b WM.</v>
      </c>
      <c r="B22" s="52">
        <f>1.025*'2004'!B22</f>
        <v>5253.124999999999</v>
      </c>
      <c r="C22" s="53"/>
      <c r="D22" s="20" t="s">
        <v>45</v>
      </c>
      <c r="E22" s="19"/>
      <c r="F22" s="38" t="s">
        <v>17</v>
      </c>
      <c r="G22" s="69" t="s">
        <v>41</v>
      </c>
      <c r="H22" s="70"/>
      <c r="I22" s="20" t="s">
        <v>42</v>
      </c>
    </row>
    <row r="23" spans="1:9" ht="22.5">
      <c r="A23" s="38" t="str">
        <f>'2004'!A23</f>
        <v>g. koersverschil</v>
      </c>
      <c r="B23" s="52">
        <v>0</v>
      </c>
      <c r="C23" s="53"/>
      <c r="D23" s="20" t="str">
        <f>'2004'!D23</f>
        <v>Koersontwikkeling, doet zich in de jaarrekening voor.</v>
      </c>
      <c r="E23" s="19"/>
      <c r="F23" s="38" t="s">
        <v>7</v>
      </c>
      <c r="G23" s="69"/>
      <c r="H23" s="70"/>
      <c r="I23" s="20"/>
    </row>
    <row r="24" spans="1:9" ht="78.75">
      <c r="A24" s="38" t="str">
        <f>'2004'!A24</f>
        <v>h. afschrijving agio/disagio</v>
      </c>
      <c r="B24" s="52">
        <v>0</v>
      </c>
      <c r="C24" s="53"/>
      <c r="D24" s="20" t="str">
        <f>'2004'!D24</f>
        <v>Dit doet zich voor als gelden worden uitgezet tegen lagere of hogere rente dan de marktrente. </v>
      </c>
      <c r="E24" s="19"/>
      <c r="F24" s="38" t="str">
        <f>'2004'!E24</f>
        <v>N.B. Het treasuryresultaat (saldo) wordt verminderd met de gemaakte kosten (advies-, bemiddeling-, provincie) verdeeld over de algemene reserve en de voorzieningen naar rato van de omvang.</v>
      </c>
      <c r="G24" s="69"/>
      <c r="H24" s="70"/>
      <c r="I24" s="20"/>
    </row>
    <row r="25" spans="1:9" ht="45">
      <c r="A25" s="38" t="s">
        <v>16</v>
      </c>
      <c r="B25" s="52">
        <v>0</v>
      </c>
      <c r="C25" s="53"/>
      <c r="D25" s="20" t="s">
        <v>50</v>
      </c>
      <c r="E25" s="19"/>
      <c r="F25" s="38"/>
      <c r="G25" s="69"/>
      <c r="H25" s="70"/>
      <c r="I25" s="20"/>
    </row>
    <row r="26" spans="1:9" s="1" customFormat="1" ht="12.75">
      <c r="A26" s="34" t="s">
        <v>20</v>
      </c>
      <c r="B26" s="48">
        <f>SUM(B5:B25)</f>
        <v>594559.2122996174</v>
      </c>
      <c r="C26" s="49"/>
      <c r="D26" s="22"/>
      <c r="E26" s="21"/>
      <c r="F26" s="34" t="s">
        <v>21</v>
      </c>
      <c r="G26" s="48">
        <f>SUM(G5:G25)</f>
        <v>594559.2122996174</v>
      </c>
      <c r="H26" s="49"/>
      <c r="I26" s="22"/>
    </row>
    <row r="27" spans="1:9" ht="13.5" thickBot="1">
      <c r="A27" s="39"/>
      <c r="B27" s="54"/>
      <c r="C27" s="55"/>
      <c r="D27" s="29"/>
      <c r="E27" s="28"/>
      <c r="F27" s="39" t="s">
        <v>20</v>
      </c>
      <c r="G27" s="71">
        <f>B26</f>
        <v>594559.2122996174</v>
      </c>
      <c r="H27" s="72"/>
      <c r="I27" s="29"/>
    </row>
    <row r="28" spans="1:9" s="1" customFormat="1" ht="22.5">
      <c r="A28" s="40"/>
      <c r="B28" s="56"/>
      <c r="C28" s="57"/>
      <c r="D28" s="18"/>
      <c r="E28" s="17"/>
      <c r="F28" s="40" t="s">
        <v>24</v>
      </c>
      <c r="G28" s="59">
        <f>G26-G27</f>
        <v>0</v>
      </c>
      <c r="H28" s="60"/>
      <c r="I28" s="18"/>
    </row>
    <row r="29" spans="1:9" s="14" customFormat="1" ht="45">
      <c r="A29" s="41"/>
      <c r="B29" s="52"/>
      <c r="C29" s="53"/>
      <c r="D29" s="42"/>
      <c r="E29" s="23"/>
      <c r="F29" s="38" t="s">
        <v>22</v>
      </c>
      <c r="G29" s="69">
        <v>0</v>
      </c>
      <c r="H29" s="70"/>
      <c r="I29" s="20" t="s">
        <v>58</v>
      </c>
    </row>
    <row r="30" spans="1:9" s="14" customFormat="1" ht="56.25">
      <c r="A30" s="41"/>
      <c r="B30" s="52"/>
      <c r="C30" s="53"/>
      <c r="D30" s="20"/>
      <c r="E30" s="19"/>
      <c r="F30" s="38" t="s">
        <v>27</v>
      </c>
      <c r="G30" s="69">
        <v>0</v>
      </c>
      <c r="H30" s="70"/>
      <c r="I30" s="20" t="s">
        <v>57</v>
      </c>
    </row>
    <row r="31" spans="1:9" s="1" customFormat="1" ht="22.5">
      <c r="A31" s="34"/>
      <c r="B31" s="48"/>
      <c r="C31" s="49"/>
      <c r="D31" s="22"/>
      <c r="E31" s="21"/>
      <c r="F31" s="34" t="s">
        <v>23</v>
      </c>
      <c r="G31" s="63">
        <f>G28-G29+G30</f>
        <v>0</v>
      </c>
      <c r="H31" s="64"/>
      <c r="I31" s="22"/>
    </row>
    <row r="32" spans="1:9" s="1" customFormat="1" ht="12.75">
      <c r="A32" s="34"/>
      <c r="B32" s="48"/>
      <c r="C32" s="49"/>
      <c r="D32" s="22"/>
      <c r="E32" s="21"/>
      <c r="F32" s="34"/>
      <c r="G32" s="63"/>
      <c r="H32" s="64"/>
      <c r="I32" s="22"/>
    </row>
    <row r="33" spans="1:9" ht="12.75">
      <c r="A33" s="38" t="s">
        <v>10</v>
      </c>
      <c r="B33" s="52"/>
      <c r="C33" s="53"/>
      <c r="D33" s="20"/>
      <c r="E33" s="19"/>
      <c r="F33" s="38"/>
      <c r="G33" s="69"/>
      <c r="H33" s="70"/>
      <c r="I33" s="20"/>
    </row>
    <row r="34" spans="1:9" ht="12.75">
      <c r="A34" s="38"/>
      <c r="B34" s="52"/>
      <c r="C34" s="53"/>
      <c r="D34" s="20"/>
      <c r="E34" s="19"/>
      <c r="F34" s="38"/>
      <c r="G34" s="69"/>
      <c r="H34" s="70"/>
      <c r="I34" s="20"/>
    </row>
    <row r="35" spans="1:9" ht="67.5">
      <c r="A35" s="37" t="s">
        <v>122</v>
      </c>
      <c r="B35" s="52"/>
      <c r="C35" s="53"/>
      <c r="D35" s="20"/>
      <c r="E35" s="19"/>
      <c r="F35" s="38"/>
      <c r="G35" s="69"/>
      <c r="H35" s="70"/>
      <c r="I35" s="20"/>
    </row>
    <row r="36" spans="1:9" ht="12.75">
      <c r="A36" s="38"/>
      <c r="B36" s="52"/>
      <c r="C36" s="53"/>
      <c r="D36" s="20"/>
      <c r="E36" s="19"/>
      <c r="F36" s="38"/>
      <c r="G36" s="69"/>
      <c r="H36" s="70"/>
      <c r="I36" s="20"/>
    </row>
    <row r="37" spans="1:9" ht="22.5">
      <c r="A37" s="34" t="s">
        <v>86</v>
      </c>
      <c r="B37" s="52"/>
      <c r="C37" s="53"/>
      <c r="D37" s="22" t="s">
        <v>89</v>
      </c>
      <c r="E37" s="21"/>
      <c r="F37" s="38"/>
      <c r="G37" s="69"/>
      <c r="H37" s="70"/>
      <c r="I37" s="20"/>
    </row>
    <row r="38" spans="1:9" s="1" customFormat="1" ht="22.5">
      <c r="A38" s="34"/>
      <c r="B38" s="48"/>
      <c r="C38" s="49"/>
      <c r="D38" s="22" t="s">
        <v>66</v>
      </c>
      <c r="E38" s="21"/>
      <c r="F38" s="58">
        <f>G5</f>
        <v>438900</v>
      </c>
      <c r="G38" s="63"/>
      <c r="H38" s="64"/>
      <c r="I38" s="22"/>
    </row>
    <row r="39" spans="1:9" s="1" customFormat="1" ht="27.75" customHeight="1">
      <c r="A39" s="34" t="s">
        <v>74</v>
      </c>
      <c r="B39" s="48">
        <f>'2004'!B41</f>
        <v>2747094.017778999</v>
      </c>
      <c r="C39" s="49"/>
      <c r="D39" s="43"/>
      <c r="E39" s="24"/>
      <c r="F39" s="34"/>
      <c r="G39" s="63"/>
      <c r="H39" s="64"/>
      <c r="I39" s="22"/>
    </row>
    <row r="40" spans="1:9" s="1" customFormat="1" ht="12.75">
      <c r="A40" s="34" t="s">
        <v>75</v>
      </c>
      <c r="B40" s="48">
        <f>B5+B7</f>
        <v>567507.2004246174</v>
      </c>
      <c r="C40" s="49"/>
      <c r="D40" s="22"/>
      <c r="E40" s="21"/>
      <c r="F40" s="34"/>
      <c r="G40" s="63"/>
      <c r="H40" s="64"/>
      <c r="I40" s="22"/>
    </row>
    <row r="41" spans="1:9" s="1" customFormat="1" ht="23.25" thickBot="1">
      <c r="A41" s="35" t="s">
        <v>76</v>
      </c>
      <c r="B41" s="50">
        <f>SUM(B39:B40)</f>
        <v>3314601.2182036163</v>
      </c>
      <c r="C41" s="51"/>
      <c r="D41" s="26"/>
      <c r="E41" s="25"/>
      <c r="F41" s="35"/>
      <c r="G41" s="73"/>
      <c r="H41" s="74"/>
      <c r="I41" s="26"/>
    </row>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7"/>
  <sheetViews>
    <sheetView view="pageBreakPreview" zoomScale="75" zoomScaleNormal="75" zoomScaleSheetLayoutView="75" workbookViewId="0" topLeftCell="A19">
      <selection activeCell="J26" sqref="J26"/>
    </sheetView>
  </sheetViews>
  <sheetFormatPr defaultColWidth="9.140625" defaultRowHeight="12.75"/>
  <cols>
    <col min="1" max="1" width="33.7109375" style="160" customWidth="1"/>
    <col min="2" max="2" width="10.7109375" style="159" customWidth="1"/>
    <col min="3" max="3" width="33.7109375" style="160" customWidth="1"/>
    <col min="4" max="4" width="10.7109375" style="160" customWidth="1"/>
    <col min="5" max="5" width="33.7109375" style="160" customWidth="1"/>
    <col min="6" max="6" width="10.7109375" style="162" customWidth="1"/>
    <col min="7" max="7" width="33.7109375" style="160" customWidth="1"/>
    <col min="8" max="16384" width="9.140625" style="170" customWidth="1"/>
  </cols>
  <sheetData>
    <row r="1" spans="1:7" s="153" customFormat="1" ht="18" customHeight="1">
      <c r="A1" s="176">
        <v>2006</v>
      </c>
      <c r="B1" s="174"/>
      <c r="C1" s="174" t="s">
        <v>49</v>
      </c>
      <c r="D1" s="175"/>
      <c r="E1" s="174"/>
      <c r="F1" s="174"/>
      <c r="G1" s="174"/>
    </row>
    <row r="2" spans="1:7" s="153" customFormat="1" ht="12.75" customHeight="1">
      <c r="A2" s="154" t="s">
        <v>0</v>
      </c>
      <c r="B2" s="156"/>
      <c r="C2" s="154"/>
      <c r="D2" s="154"/>
      <c r="E2" s="154" t="s">
        <v>1</v>
      </c>
      <c r="F2" s="155"/>
      <c r="G2" s="154"/>
    </row>
    <row r="3" spans="1:7" s="153" customFormat="1" ht="12.75" customHeight="1">
      <c r="A3" s="154" t="s">
        <v>34</v>
      </c>
      <c r="B3" s="156" t="s">
        <v>35</v>
      </c>
      <c r="C3" s="154" t="s">
        <v>36</v>
      </c>
      <c r="D3" s="154"/>
      <c r="E3" s="154" t="s">
        <v>34</v>
      </c>
      <c r="F3" s="157" t="s">
        <v>35</v>
      </c>
      <c r="G3" s="154" t="s">
        <v>36</v>
      </c>
    </row>
    <row r="4" spans="1:7" s="153" customFormat="1" ht="63" customHeight="1">
      <c r="A4" s="158" t="s">
        <v>2</v>
      </c>
      <c r="B4" s="159">
        <f>2018/3*2</f>
        <v>1345.3333333333333</v>
      </c>
      <c r="C4" s="160" t="s">
        <v>181</v>
      </c>
      <c r="D4" s="154"/>
      <c r="E4" s="158" t="s">
        <v>154</v>
      </c>
      <c r="F4" s="161" t="str">
        <f>+Totaaloverzicht!F35</f>
        <v>p.m.</v>
      </c>
      <c r="G4" s="177" t="s">
        <v>171</v>
      </c>
    </row>
    <row r="5" spans="1:7" s="153" customFormat="1" ht="52.5" customHeight="1">
      <c r="A5" s="158" t="s">
        <v>155</v>
      </c>
      <c r="B5" s="159">
        <f>+Totaaloverzicht!F5</f>
        <v>0</v>
      </c>
      <c r="C5" s="160" t="s">
        <v>52</v>
      </c>
      <c r="D5" s="154"/>
      <c r="E5" s="158" t="s">
        <v>156</v>
      </c>
      <c r="F5" s="162">
        <f>+Totaaloverzicht!F36</f>
        <v>0</v>
      </c>
      <c r="G5" s="160" t="s">
        <v>50</v>
      </c>
    </row>
    <row r="6" spans="1:7" s="153" customFormat="1" ht="64.5" customHeight="1">
      <c r="A6" s="158" t="s">
        <v>157</v>
      </c>
      <c r="B6" s="159">
        <f>2647.66666666667*2</f>
        <v>5295.333333333333</v>
      </c>
      <c r="C6" s="160" t="s">
        <v>182</v>
      </c>
      <c r="D6" s="154"/>
      <c r="E6" s="154"/>
      <c r="F6" s="163"/>
      <c r="G6" s="154"/>
    </row>
    <row r="7" spans="1:7" s="153" customFormat="1" ht="81.75" customHeight="1">
      <c r="A7" s="158" t="s">
        <v>158</v>
      </c>
      <c r="B7" s="159">
        <f>+Totaaloverzicht!F7</f>
        <v>4820</v>
      </c>
      <c r="C7" s="160" t="s">
        <v>174</v>
      </c>
      <c r="D7" s="154"/>
      <c r="E7" s="154"/>
      <c r="F7" s="164"/>
      <c r="G7" s="154"/>
    </row>
    <row r="8" spans="1:12" s="153" customFormat="1" ht="48" customHeight="1">
      <c r="A8" s="158" t="s">
        <v>180</v>
      </c>
      <c r="B8" s="159">
        <f>+Totaaloverzicht!F8</f>
        <v>8825</v>
      </c>
      <c r="C8" s="160" t="str">
        <f>'2005'!D22</f>
        <v>Betreft de werkzaamheden van de treasurer excl. backoffice. Gerekend met 10 dagen op jaarbasis.</v>
      </c>
      <c r="D8" s="154"/>
      <c r="E8" s="154"/>
      <c r="F8" s="157"/>
      <c r="G8" s="154"/>
      <c r="L8" s="179"/>
    </row>
    <row r="9" spans="1:7" s="153" customFormat="1" ht="52.5" customHeight="1">
      <c r="A9" s="158" t="s">
        <v>3</v>
      </c>
      <c r="B9" s="159">
        <f>+Totaaloverzicht!F9</f>
        <v>5125</v>
      </c>
      <c r="C9" s="160" t="s">
        <v>46</v>
      </c>
      <c r="D9" s="154"/>
      <c r="E9" s="154"/>
      <c r="F9" s="157"/>
      <c r="G9" s="154"/>
    </row>
    <row r="10" spans="1:7" s="153" customFormat="1" ht="12.75" customHeight="1">
      <c r="A10" s="154"/>
      <c r="B10" s="165"/>
      <c r="C10" s="154"/>
      <c r="D10" s="154"/>
      <c r="E10" s="154"/>
      <c r="F10" s="166"/>
      <c r="G10" s="154"/>
    </row>
    <row r="11" spans="1:7" s="153" customFormat="1" ht="12.75" customHeight="1">
      <c r="A11" s="154"/>
      <c r="B11" s="156">
        <f>SUM(B4:B10)</f>
        <v>25410.666666666664</v>
      </c>
      <c r="C11" s="154"/>
      <c r="D11" s="154"/>
      <c r="E11" s="154"/>
      <c r="F11" s="155">
        <f>SUM(F4:F10)</f>
        <v>0</v>
      </c>
      <c r="G11" s="154"/>
    </row>
    <row r="12" spans="1:7" s="153" customFormat="1" ht="19.5" customHeight="1">
      <c r="A12" s="167" t="s">
        <v>159</v>
      </c>
      <c r="B12" s="156"/>
      <c r="C12" s="154"/>
      <c r="D12" s="154"/>
      <c r="E12" s="167" t="s">
        <v>147</v>
      </c>
      <c r="F12" s="157"/>
      <c r="G12" s="154"/>
    </row>
    <row r="13" spans="1:7" s="153" customFormat="1" ht="45.75" customHeight="1">
      <c r="A13" s="160" t="s">
        <v>8</v>
      </c>
      <c r="B13" s="159">
        <f>+Totaaloverzicht!F13</f>
        <v>0</v>
      </c>
      <c r="C13" s="160" t="str">
        <f>'2004'!D16</f>
        <v>Niet van toepassing. Er zijn middelen beschikbaar. Een deel daarvan zal op de rekening-courant blijven staan.</v>
      </c>
      <c r="D13" s="154"/>
      <c r="E13" s="160" t="s">
        <v>4</v>
      </c>
      <c r="F13" s="162">
        <f>+doelvermogen!G8</f>
        <v>96760.70075822607</v>
      </c>
      <c r="G13" s="160" t="s">
        <v>151</v>
      </c>
    </row>
    <row r="14" spans="1:7" s="153" customFormat="1" ht="45" customHeight="1">
      <c r="A14" s="160" t="s">
        <v>29</v>
      </c>
      <c r="B14" s="159">
        <f>+Totaaloverzicht!F14</f>
        <v>0</v>
      </c>
      <c r="C14" s="160" t="s">
        <v>94</v>
      </c>
      <c r="D14" s="154"/>
      <c r="E14" s="160" t="s">
        <v>148</v>
      </c>
      <c r="F14" s="162">
        <f>+Totaaloverzicht!F40</f>
        <v>37943.71975822607</v>
      </c>
      <c r="G14" s="160" t="s">
        <v>173</v>
      </c>
    </row>
    <row r="15" spans="1:7" s="153" customFormat="1" ht="25.5" customHeight="1">
      <c r="A15" s="160" t="s">
        <v>30</v>
      </c>
      <c r="B15" s="159">
        <f>+Totaaloverzicht!F15</f>
        <v>0</v>
      </c>
      <c r="C15" s="160" t="str">
        <f>'2005'!D19</f>
        <v>Geen bemiddeling, daardoor geen bemiddelingskosten.</v>
      </c>
      <c r="D15" s="154"/>
      <c r="E15" s="160" t="s">
        <v>6</v>
      </c>
      <c r="F15" s="168" t="str">
        <f>+Totaaloverzicht!F42</f>
        <v>p.m.</v>
      </c>
      <c r="G15" s="154"/>
    </row>
    <row r="16" spans="1:7" s="153" customFormat="1" ht="28.5" customHeight="1">
      <c r="A16" s="160" t="str">
        <f>'2005'!A20</f>
        <v>d. aankoopkosten</v>
      </c>
      <c r="B16" s="159">
        <f>+Totaaloverzicht!F16</f>
        <v>1000</v>
      </c>
      <c r="C16" s="160" t="str">
        <f>'2005'!D20</f>
        <v>Kosten aandelen + obligaties uitzetting ontvangen heffing.</v>
      </c>
      <c r="D16" s="154"/>
      <c r="E16" s="160" t="s">
        <v>17</v>
      </c>
      <c r="F16" s="168" t="str">
        <f>+Totaaloverzicht!F43</f>
        <v>p.m.</v>
      </c>
      <c r="G16" s="154"/>
    </row>
    <row r="17" spans="1:7" s="153" customFormat="1" ht="32.25" customHeight="1">
      <c r="A17" s="160" t="str">
        <f>'2005'!A21</f>
        <v>e. bewaarloon</v>
      </c>
      <c r="B17" s="159">
        <f>+Totaaloverzicht!F17</f>
        <v>1500</v>
      </c>
      <c r="C17" s="160" t="str">
        <f>'2005'!D21</f>
        <v>Kosten aanhouden effectendepot door bank.</v>
      </c>
      <c r="D17" s="154"/>
      <c r="E17" s="160" t="s">
        <v>7</v>
      </c>
      <c r="F17" s="168">
        <f>+Totaaloverzicht!F44</f>
        <v>0</v>
      </c>
      <c r="G17" s="154"/>
    </row>
    <row r="18" spans="1:7" s="153" customFormat="1" ht="29.25" customHeight="1">
      <c r="A18" s="160" t="str">
        <f>'2005'!A23</f>
        <v>g. koersverschil</v>
      </c>
      <c r="B18" s="159">
        <f>+Totaaloverzicht!F18</f>
        <v>0</v>
      </c>
      <c r="C18" s="160" t="str">
        <f>'2005'!D23</f>
        <v>Koersontwikkeling, doet zich in de jaarrekening voor.</v>
      </c>
      <c r="D18" s="154"/>
      <c r="E18" s="154"/>
      <c r="F18" s="157"/>
      <c r="G18" s="157"/>
    </row>
    <row r="19" spans="1:7" s="153" customFormat="1" ht="42.75" customHeight="1">
      <c r="A19" s="160" t="str">
        <f>'2005'!A24</f>
        <v>h. afschrijving agio/disagio</v>
      </c>
      <c r="B19" s="159">
        <f>+Totaaloverzicht!F19</f>
        <v>6712.720000000001</v>
      </c>
      <c r="C19" s="160" t="str">
        <f>'2005'!D24</f>
        <v>Dit doet zich voor als gelden worden uitgezet tegen lagere of hogere rente dan de marktrente. </v>
      </c>
      <c r="D19" s="154"/>
      <c r="E19" s="154"/>
      <c r="F19" s="157"/>
      <c r="G19" s="154"/>
    </row>
    <row r="20" spans="1:7" s="153" customFormat="1" ht="12.75" customHeight="1">
      <c r="A20" s="160"/>
      <c r="B20" s="169"/>
      <c r="C20" s="160"/>
      <c r="D20" s="154"/>
      <c r="E20" s="154"/>
      <c r="F20" s="166"/>
      <c r="G20" s="154"/>
    </row>
    <row r="21" spans="1:7" s="153" customFormat="1" ht="12.75" customHeight="1">
      <c r="A21" s="160"/>
      <c r="B21" s="156">
        <f>SUM(B13:B20)</f>
        <v>9212.720000000001</v>
      </c>
      <c r="C21" s="160"/>
      <c r="D21" s="154"/>
      <c r="E21" s="154"/>
      <c r="F21" s="157">
        <f>SUM(F13:F20)</f>
        <v>134704.42051645214</v>
      </c>
      <c r="G21" s="154"/>
    </row>
    <row r="22" spans="1:7" s="153" customFormat="1" ht="12.75" customHeight="1">
      <c r="A22" s="154"/>
      <c r="B22" s="156"/>
      <c r="C22" s="154"/>
      <c r="D22" s="154"/>
      <c r="E22" s="154"/>
      <c r="F22" s="157"/>
      <c r="G22" s="154"/>
    </row>
    <row r="23" spans="1:2" ht="43.5" customHeight="1">
      <c r="A23" s="158" t="s">
        <v>160</v>
      </c>
      <c r="B23" s="168" t="str">
        <f>+Totaaloverzicht!F23</f>
        <v>p.m.</v>
      </c>
    </row>
    <row r="24" spans="1:3" ht="62.25" customHeight="1">
      <c r="A24" s="158" t="s">
        <v>161</v>
      </c>
      <c r="B24" s="162">
        <f>+F13</f>
        <v>96760.70075822607</v>
      </c>
      <c r="C24" s="160" t="s">
        <v>169</v>
      </c>
    </row>
    <row r="25" spans="1:5" ht="42" customHeight="1">
      <c r="A25" s="158" t="s">
        <v>162</v>
      </c>
      <c r="B25" s="162">
        <f>+Totaaloverzicht!F25</f>
        <v>0</v>
      </c>
      <c r="C25" s="160" t="s">
        <v>51</v>
      </c>
      <c r="E25" s="158"/>
    </row>
    <row r="26" spans="1:7" ht="42" customHeight="1">
      <c r="A26" s="158" t="s">
        <v>149</v>
      </c>
      <c r="B26" s="162">
        <f>+Totaaloverzicht!F26</f>
        <v>0</v>
      </c>
      <c r="C26" s="160" t="s">
        <v>172</v>
      </c>
      <c r="E26" s="158" t="s">
        <v>153</v>
      </c>
      <c r="F26" s="162" t="s">
        <v>41</v>
      </c>
      <c r="G26" s="160" t="s">
        <v>170</v>
      </c>
    </row>
    <row r="27" spans="1:7" ht="33" customHeight="1">
      <c r="A27" s="158" t="s">
        <v>150</v>
      </c>
      <c r="B27" s="162">
        <f>IF(Totaaloverzicht!F54&lt;=0,Totaaloverzicht!F54,0)</f>
        <v>0</v>
      </c>
      <c r="C27" s="160" t="s">
        <v>178</v>
      </c>
      <c r="E27" s="158" t="s">
        <v>152</v>
      </c>
      <c r="F27" s="162" t="s">
        <v>41</v>
      </c>
      <c r="G27" s="160" t="s">
        <v>179</v>
      </c>
    </row>
    <row r="28" spans="1:3" ht="30" customHeight="1">
      <c r="A28" s="158" t="s">
        <v>163</v>
      </c>
      <c r="B28" s="162">
        <f>+Totaaloverzicht!F27</f>
        <v>0</v>
      </c>
      <c r="C28" s="160" t="s">
        <v>43</v>
      </c>
    </row>
    <row r="29" spans="2:6" ht="12.75" customHeight="1">
      <c r="B29" s="169"/>
      <c r="F29" s="171"/>
    </row>
    <row r="30" spans="1:6" ht="18.75" customHeight="1">
      <c r="A30" s="158"/>
      <c r="B30" s="156">
        <f>SUM(B23:B29)</f>
        <v>96760.70075822607</v>
      </c>
      <c r="E30" s="158"/>
      <c r="F30" s="164">
        <f>SUM(F24:F29)</f>
        <v>0</v>
      </c>
    </row>
    <row r="31" ht="12.75" customHeight="1"/>
    <row r="32" spans="1:6" ht="12.75" customHeight="1" thickBot="1">
      <c r="A32" s="154" t="s">
        <v>20</v>
      </c>
      <c r="B32" s="172">
        <f>SUM(B30+B21+B11)</f>
        <v>131384.08742489273</v>
      </c>
      <c r="E32" s="154" t="s">
        <v>21</v>
      </c>
      <c r="F32" s="173">
        <f>SUM(+F21+F11+F30)</f>
        <v>134704.42051645214</v>
      </c>
    </row>
    <row r="33" ht="12.75" customHeight="1" thickTop="1"/>
    <row r="34" ht="12.75" customHeight="1"/>
    <row r="35" ht="12.75" customHeight="1"/>
    <row r="36" ht="12.75" customHeight="1"/>
    <row r="37" spans="1:4" ht="12.75" customHeight="1">
      <c r="A37" s="217" t="s">
        <v>183</v>
      </c>
      <c r="C37" s="154" t="s">
        <v>89</v>
      </c>
      <c r="D37" s="154"/>
    </row>
    <row r="38" spans="1:7" s="153" customFormat="1" ht="12.75" customHeight="1">
      <c r="A38" s="217"/>
      <c r="B38" s="156"/>
      <c r="C38" s="154" t="s">
        <v>77</v>
      </c>
      <c r="D38" s="154"/>
      <c r="E38" s="156"/>
      <c r="F38" s="155"/>
      <c r="G38" s="154"/>
    </row>
    <row r="39" spans="1:7" s="153" customFormat="1" ht="12.75" customHeight="1">
      <c r="A39" s="154"/>
      <c r="B39" s="156"/>
      <c r="C39" s="154"/>
      <c r="D39" s="154"/>
      <c r="E39" s="156"/>
      <c r="F39" s="155"/>
      <c r="G39" s="154"/>
    </row>
    <row r="40" spans="1:7" s="153" customFormat="1" ht="12.75" customHeight="1">
      <c r="A40" s="174" t="s">
        <v>164</v>
      </c>
      <c r="C40" s="154" t="s">
        <v>165</v>
      </c>
      <c r="D40" s="156">
        <f>+Totaaloverzicht!D60</f>
        <v>1935214.02</v>
      </c>
      <c r="E40" s="154"/>
      <c r="F40" s="155"/>
      <c r="G40" s="154"/>
    </row>
    <row r="41" spans="1:7" s="153" customFormat="1" ht="12.75" customHeight="1">
      <c r="A41" s="154"/>
      <c r="C41" s="154" t="s">
        <v>166</v>
      </c>
      <c r="D41" s="165">
        <f>+B24</f>
        <v>96760.70075822607</v>
      </c>
      <c r="E41" s="154"/>
      <c r="F41" s="155"/>
      <c r="G41" s="154"/>
    </row>
    <row r="42" spans="1:7" s="153" customFormat="1" ht="12.75" customHeight="1">
      <c r="A42" s="154"/>
      <c r="C42" s="154" t="s">
        <v>167</v>
      </c>
      <c r="D42" s="156">
        <f>SUM(D40:D41)</f>
        <v>2031974.720758226</v>
      </c>
      <c r="E42" s="154"/>
      <c r="F42" s="155"/>
      <c r="G42" s="154"/>
    </row>
    <row r="43" ht="12.75" customHeight="1"/>
    <row r="44" ht="12.75" customHeight="1"/>
    <row r="45" spans="1:4" ht="12.75" customHeight="1">
      <c r="A45" s="174" t="s">
        <v>168</v>
      </c>
      <c r="C45" s="154" t="s">
        <v>165</v>
      </c>
      <c r="D45" s="156">
        <f>+Totaaloverzicht!D62</f>
        <v>1319312</v>
      </c>
    </row>
    <row r="46" spans="3:4" ht="12.75" customHeight="1">
      <c r="C46" s="154" t="s">
        <v>166</v>
      </c>
      <c r="D46" s="165"/>
    </row>
    <row r="47" spans="3:4" ht="12.75" customHeight="1">
      <c r="C47" s="154" t="s">
        <v>167</v>
      </c>
      <c r="D47" s="156">
        <f>SUM(D45:D46)</f>
        <v>1319312</v>
      </c>
    </row>
    <row r="48" ht="12.75" customHeight="1"/>
  </sheetData>
  <mergeCells count="1">
    <mergeCell ref="A37:A38"/>
  </mergeCells>
  <printOptions/>
  <pageMargins left="0.3937007874015748" right="0.3937007874015748" top="0.3937007874015748" bottom="0.3937007874015748" header="0" footer="0"/>
  <pageSetup horizontalDpi="600" verticalDpi="600" orientation="landscape" paperSize="9" scale="65" r:id="rId1"/>
  <rowBreaks count="1" manualBreakCount="1">
    <brk id="11" max="6" man="1"/>
  </rowBreaks>
</worksheet>
</file>

<file path=xl/worksheets/sheet8.xml><?xml version="1.0" encoding="utf-8"?>
<worksheet xmlns="http://schemas.openxmlformats.org/spreadsheetml/2006/main" xmlns:r="http://schemas.openxmlformats.org/officeDocument/2006/relationships">
  <dimension ref="A1:L51"/>
  <sheetViews>
    <sheetView view="pageBreakPreview" zoomScale="60" zoomScaleNormal="75" workbookViewId="0" topLeftCell="A1">
      <selection activeCell="F13" sqref="F13"/>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+'2006'!A1+1</f>
        <v>2007</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63" customHeight="1">
      <c r="A4" s="158" t="s">
        <v>2</v>
      </c>
      <c r="B4" s="159">
        <f>+'2006'!B4*102.5%</f>
        <v>1378.9666666666665</v>
      </c>
      <c r="C4" s="160" t="s">
        <v>181</v>
      </c>
      <c r="D4" s="154"/>
      <c r="E4" s="158" t="s">
        <v>154</v>
      </c>
      <c r="F4" s="161" t="s">
        <v>41</v>
      </c>
      <c r="G4" s="177" t="s">
        <v>171</v>
      </c>
    </row>
    <row r="5" spans="1:7" s="76" customFormat="1" ht="52.5" customHeight="1">
      <c r="A5" s="158" t="s">
        <v>155</v>
      </c>
      <c r="B5" s="159">
        <f>+'2006'!B5*102.5%</f>
        <v>0</v>
      </c>
      <c r="C5" s="160" t="s">
        <v>52</v>
      </c>
      <c r="D5" s="154"/>
      <c r="E5" s="158" t="s">
        <v>156</v>
      </c>
      <c r="F5" s="168" t="s">
        <v>41</v>
      </c>
      <c r="G5" s="160" t="s">
        <v>50</v>
      </c>
    </row>
    <row r="6" spans="1:7" s="76" customFormat="1" ht="64.5" customHeight="1">
      <c r="A6" s="158" t="s">
        <v>157</v>
      </c>
      <c r="B6" s="159">
        <f>+'2006'!B6*102.5%</f>
        <v>5427.716666666666</v>
      </c>
      <c r="C6" s="160" t="s">
        <v>182</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f>+'2006'!B8*102.5%</f>
        <v>9045.625</v>
      </c>
      <c r="C8" s="160" t="str">
        <f>'2005'!D22</f>
        <v>Betreft de werkzaamheden van de treasurer excl. backoffice. Gerekend met 10 dagen op jaarbasis.</v>
      </c>
      <c r="D8" s="154"/>
      <c r="E8" s="154"/>
      <c r="F8" s="157"/>
      <c r="G8" s="154"/>
      <c r="L8" s="179"/>
    </row>
    <row r="9" spans="1:7" s="76" customFormat="1" ht="52.5" customHeight="1">
      <c r="A9" s="158" t="s">
        <v>3</v>
      </c>
      <c r="B9" s="159">
        <v>5253.124999999999</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25924.433333333334</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+'2006'!B13*102.5%</f>
        <v>0</v>
      </c>
      <c r="C13" s="160" t="str">
        <f>'2004'!D16</f>
        <v>Niet van toepassing. Er zijn middelen beschikbaar. Een deel daarvan zal op de rekening-courant blijven staan.</v>
      </c>
      <c r="D13" s="154"/>
      <c r="E13" s="160" t="s">
        <v>4</v>
      </c>
      <c r="F13" s="162">
        <f>+doelvermogen!G9</f>
        <v>101598.73579613738</v>
      </c>
      <c r="G13" s="160" t="s">
        <v>151</v>
      </c>
    </row>
    <row r="14" spans="1:7" s="76" customFormat="1" ht="45" customHeight="1">
      <c r="A14" s="160" t="s">
        <v>29</v>
      </c>
      <c r="B14" s="159">
        <f>+'2006'!B14*102.5%</f>
        <v>0</v>
      </c>
      <c r="C14" s="160" t="s">
        <v>94</v>
      </c>
      <c r="D14" s="154"/>
      <c r="E14" s="160" t="s">
        <v>148</v>
      </c>
      <c r="F14" s="162">
        <f>+Totaaloverzicht!G40</f>
        <v>38602.99475822605</v>
      </c>
      <c r="G14" s="160" t="s">
        <v>173</v>
      </c>
    </row>
    <row r="15" spans="1:7" ht="25.5" customHeight="1">
      <c r="A15" s="160" t="s">
        <v>30</v>
      </c>
      <c r="B15" s="159">
        <f>+'2006'!B15*102.5%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+'2006'!B16*102.5%</f>
        <v>1025</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+'2006'!B17*102.5%</f>
        <v>1537.4999999999998</v>
      </c>
      <c r="C17" s="160" t="str">
        <f>'2005'!D21</f>
        <v>Kosten aanhouden effectendepot door bank.</v>
      </c>
      <c r="D17" s="154"/>
      <c r="E17" s="160" t="s">
        <v>7</v>
      </c>
      <c r="F17" s="162">
        <f>+Totaaloverzicht!G44</f>
        <v>0</v>
      </c>
      <c r="G17" s="154"/>
    </row>
    <row r="18" spans="1:7" ht="29.25" customHeight="1">
      <c r="A18" s="160" t="str">
        <f>'2005'!A23</f>
        <v>g. koersverschil</v>
      </c>
      <c r="B18" s="159">
        <f>+'2006'!B18*102.5%</f>
        <v>0</v>
      </c>
      <c r="C18" s="160" t="str">
        <f>'2005'!D23</f>
        <v>Koersontwikkeling, doet zich in de jaarrekening voor.</v>
      </c>
      <c r="D18" s="154"/>
      <c r="E18" s="154"/>
      <c r="F18" s="157"/>
      <c r="G18" s="157"/>
    </row>
    <row r="19" spans="1:7" ht="42.75" customHeight="1">
      <c r="A19" s="160" t="str">
        <f>'2005'!A24</f>
        <v>h. afschrijving agio/disagio</v>
      </c>
      <c r="B19" s="159">
        <f>+'2006'!B19</f>
        <v>6712.720000000001</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9275.220000000001</v>
      </c>
      <c r="C21" s="160"/>
      <c r="D21" s="154"/>
      <c r="E21" s="154"/>
      <c r="F21" s="157">
        <f>SUM(F13:F20)</f>
        <v>140201.73055436343</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+F13</f>
        <v>101598.73579613738</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t="s">
        <v>41</v>
      </c>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101598.73579613738</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136798.3891294707</v>
      </c>
      <c r="C32" s="160"/>
      <c r="D32" s="160"/>
      <c r="E32" s="154" t="s">
        <v>21</v>
      </c>
      <c r="F32" s="173">
        <f>SUM(+F21+F11+F30)</f>
        <v>140201.73055436343</v>
      </c>
      <c r="G32" s="160"/>
    </row>
    <row r="33" spans="1:7" ht="12.75" customHeight="1" thickTop="1">
      <c r="A33" s="160"/>
      <c r="B33" s="159"/>
      <c r="C33" s="160"/>
      <c r="D33" s="160"/>
      <c r="E33" s="160"/>
      <c r="F33" s="162"/>
      <c r="G33" s="160"/>
    </row>
    <row r="34" spans="1:7" ht="12.75" customHeight="1">
      <c r="A34" s="160"/>
      <c r="B34" s="159"/>
      <c r="C34" s="160"/>
      <c r="D34" s="160"/>
      <c r="E34" s="160"/>
      <c r="F34" s="162"/>
      <c r="G34" s="160"/>
    </row>
    <row r="35" spans="1:7" ht="12.75" customHeight="1">
      <c r="A35" s="160"/>
      <c r="B35" s="159"/>
      <c r="C35" s="160"/>
      <c r="D35" s="160"/>
      <c r="E35" s="160"/>
      <c r="F35" s="162"/>
      <c r="G35" s="160"/>
    </row>
    <row r="36" spans="1:7" s="76" customFormat="1" ht="12.7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+Totaaloverzicht!F60</f>
        <v>2031974.720758226</v>
      </c>
      <c r="E40" s="154"/>
      <c r="F40" s="155"/>
      <c r="G40" s="154"/>
    </row>
    <row r="41" spans="1:7" s="76" customFormat="1" ht="12.75" customHeight="1">
      <c r="A41" s="154"/>
      <c r="B41" s="153"/>
      <c r="C41" s="154" t="s">
        <v>166</v>
      </c>
      <c r="D41" s="165">
        <f>+B24</f>
        <v>101598.73579613738</v>
      </c>
      <c r="E41" s="154"/>
      <c r="F41" s="155"/>
      <c r="G41" s="154"/>
    </row>
    <row r="42" spans="1:7" s="76" customFormat="1" ht="12.75" customHeight="1">
      <c r="A42" s="154"/>
      <c r="B42" s="153"/>
      <c r="C42" s="154" t="s">
        <v>167</v>
      </c>
      <c r="D42" s="156">
        <f>SUM(D40:D41)</f>
        <v>2133573.4565543635</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+Totaaloverzicht!F62</f>
        <v>1319312</v>
      </c>
      <c r="E45" s="160"/>
      <c r="F45" s="162"/>
      <c r="G45" s="160"/>
    </row>
    <row r="46" spans="1:7" ht="12.75" customHeight="1">
      <c r="A46" s="160"/>
      <c r="B46" s="159"/>
      <c r="C46" s="154" t="s">
        <v>166</v>
      </c>
      <c r="D46" s="165"/>
      <c r="E46" s="160"/>
      <c r="F46" s="162"/>
      <c r="G46" s="160"/>
    </row>
    <row r="47" spans="1:7" ht="12.75" customHeight="1">
      <c r="A47" s="160"/>
      <c r="B47" s="159"/>
      <c r="C47" s="154" t="s">
        <v>167</v>
      </c>
      <c r="D47" s="156">
        <f>SUM(D45:D46)</f>
        <v>1319312</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85" r:id="rId1"/>
  <rowBreaks count="2" manualBreakCount="2">
    <brk id="11" max="6" man="1"/>
    <brk id="32" max="6" man="1"/>
  </rowBreaks>
</worksheet>
</file>

<file path=xl/worksheets/sheet9.xml><?xml version="1.0" encoding="utf-8"?>
<worksheet xmlns="http://schemas.openxmlformats.org/spreadsheetml/2006/main" xmlns:r="http://schemas.openxmlformats.org/officeDocument/2006/relationships">
  <dimension ref="A1:L51"/>
  <sheetViews>
    <sheetView view="pageBreakPreview" zoomScale="75" zoomScaleNormal="75" zoomScaleSheetLayoutView="75" workbookViewId="0" topLeftCell="A1">
      <selection activeCell="D47" sqref="D47"/>
    </sheetView>
  </sheetViews>
  <sheetFormatPr defaultColWidth="9.140625" defaultRowHeight="12.75"/>
  <cols>
    <col min="1" max="1" width="33.7109375" style="85" customWidth="1"/>
    <col min="2" max="2" width="10.7109375" style="84" customWidth="1"/>
    <col min="3" max="3" width="33.7109375" style="85" customWidth="1"/>
    <col min="4" max="4" width="10.7109375" style="85" customWidth="1"/>
    <col min="5" max="5" width="33.7109375" style="85" customWidth="1"/>
    <col min="6" max="6" width="10.7109375" style="86" customWidth="1"/>
    <col min="7" max="7" width="33.7109375" style="85" customWidth="1"/>
    <col min="8" max="16384" width="9.140625" style="88" customWidth="1"/>
  </cols>
  <sheetData>
    <row r="1" spans="1:7" s="76" customFormat="1" ht="15.75">
      <c r="A1" s="176">
        <f>+'2007'!A1+1</f>
        <v>2008</v>
      </c>
      <c r="B1" s="174"/>
      <c r="C1" s="174" t="s">
        <v>49</v>
      </c>
      <c r="D1" s="175"/>
      <c r="E1" s="174"/>
      <c r="F1" s="174"/>
      <c r="G1" s="174"/>
    </row>
    <row r="2" spans="1:7" s="76" customFormat="1" ht="12.75" customHeight="1">
      <c r="A2" s="154" t="s">
        <v>0</v>
      </c>
      <c r="B2" s="156"/>
      <c r="C2" s="154"/>
      <c r="D2" s="154"/>
      <c r="E2" s="154" t="s">
        <v>1</v>
      </c>
      <c r="F2" s="155"/>
      <c r="G2" s="154"/>
    </row>
    <row r="3" spans="1:7" s="76" customFormat="1" ht="12.75" customHeight="1">
      <c r="A3" s="154" t="s">
        <v>34</v>
      </c>
      <c r="B3" s="156" t="s">
        <v>35</v>
      </c>
      <c r="C3" s="154" t="s">
        <v>36</v>
      </c>
      <c r="D3" s="154"/>
      <c r="E3" s="154" t="s">
        <v>34</v>
      </c>
      <c r="F3" s="157" t="s">
        <v>35</v>
      </c>
      <c r="G3" s="154" t="s">
        <v>36</v>
      </c>
    </row>
    <row r="4" spans="1:7" s="76" customFormat="1" ht="63" customHeight="1">
      <c r="A4" s="158" t="s">
        <v>2</v>
      </c>
      <c r="B4" s="159">
        <f>+Totaaloverzicht!H4</f>
        <v>1200</v>
      </c>
      <c r="C4" s="160" t="s">
        <v>186</v>
      </c>
      <c r="D4" s="154"/>
      <c r="E4" s="158" t="s">
        <v>154</v>
      </c>
      <c r="F4" s="161" t="s">
        <v>41</v>
      </c>
      <c r="G4" s="177" t="s">
        <v>171</v>
      </c>
    </row>
    <row r="5" spans="1:7" s="76" customFormat="1" ht="52.5" customHeight="1">
      <c r="A5" s="158" t="s">
        <v>155</v>
      </c>
      <c r="B5" s="159">
        <f>+'2007'!B5*102.5%</f>
        <v>0</v>
      </c>
      <c r="C5" s="160" t="s">
        <v>52</v>
      </c>
      <c r="D5" s="154"/>
      <c r="E5" s="158" t="s">
        <v>156</v>
      </c>
      <c r="F5" s="168" t="s">
        <v>41</v>
      </c>
      <c r="G5" s="160" t="s">
        <v>50</v>
      </c>
    </row>
    <row r="6" spans="1:7" s="76" customFormat="1" ht="64.5" customHeight="1">
      <c r="A6" s="158" t="s">
        <v>157</v>
      </c>
      <c r="B6" s="159">
        <f>+Totaaloverzicht!H6</f>
        <v>4500</v>
      </c>
      <c r="C6" s="160" t="s">
        <v>182</v>
      </c>
      <c r="D6" s="154"/>
      <c r="E6" s="154"/>
      <c r="F6" s="163"/>
      <c r="G6" s="154"/>
    </row>
    <row r="7" spans="1:7" s="76" customFormat="1" ht="81.75" customHeight="1">
      <c r="A7" s="158" t="s">
        <v>158</v>
      </c>
      <c r="B7" s="159">
        <v>4819</v>
      </c>
      <c r="C7" s="160" t="s">
        <v>174</v>
      </c>
      <c r="D7" s="154"/>
      <c r="E7" s="154"/>
      <c r="F7" s="164"/>
      <c r="G7" s="154"/>
    </row>
    <row r="8" spans="1:12" s="76" customFormat="1" ht="48" customHeight="1">
      <c r="A8" s="158" t="s">
        <v>180</v>
      </c>
      <c r="B8" s="159">
        <v>6545</v>
      </c>
      <c r="C8" s="160" t="str">
        <f>'2005'!D22</f>
        <v>Betreft de werkzaamheden van de treasurer excl. backoffice. Gerekend met 10 dagen op jaarbasis.</v>
      </c>
      <c r="D8" s="154"/>
      <c r="E8" s="154"/>
      <c r="F8" s="157"/>
      <c r="G8" s="154"/>
      <c r="L8" s="179"/>
    </row>
    <row r="9" spans="1:7" s="76" customFormat="1" ht="52.5" customHeight="1">
      <c r="A9" s="158" t="s">
        <v>3</v>
      </c>
      <c r="B9" s="159">
        <v>5125</v>
      </c>
      <c r="C9" s="160" t="s">
        <v>46</v>
      </c>
      <c r="D9" s="154"/>
      <c r="E9" s="154"/>
      <c r="F9" s="157"/>
      <c r="G9" s="154"/>
    </row>
    <row r="10" spans="1:7" s="76" customFormat="1" ht="12.75" customHeight="1">
      <c r="A10" s="154"/>
      <c r="B10" s="165"/>
      <c r="C10" s="154"/>
      <c r="D10" s="154"/>
      <c r="E10" s="154"/>
      <c r="F10" s="166"/>
      <c r="G10" s="154"/>
    </row>
    <row r="11" spans="1:7" s="76" customFormat="1" ht="12.75" customHeight="1">
      <c r="A11" s="154"/>
      <c r="B11" s="156">
        <f>SUM(B4:B10)</f>
        <v>22189</v>
      </c>
      <c r="C11" s="154"/>
      <c r="D11" s="154"/>
      <c r="E11" s="154"/>
      <c r="F11" s="155">
        <f>SUM(F4:F10)</f>
        <v>0</v>
      </c>
      <c r="G11" s="154"/>
    </row>
    <row r="12" spans="1:7" s="76" customFormat="1" ht="19.5" customHeight="1">
      <c r="A12" s="167" t="s">
        <v>159</v>
      </c>
      <c r="B12" s="156"/>
      <c r="C12" s="154"/>
      <c r="D12" s="154"/>
      <c r="E12" s="167" t="s">
        <v>147</v>
      </c>
      <c r="F12" s="157"/>
      <c r="G12" s="154"/>
    </row>
    <row r="13" spans="1:7" s="76" customFormat="1" ht="45.75" customHeight="1">
      <c r="A13" s="160" t="s">
        <v>8</v>
      </c>
      <c r="B13" s="159">
        <f>+'2007'!B13*102.5%</f>
        <v>0</v>
      </c>
      <c r="C13" s="160" t="str">
        <f>'2004'!D16</f>
        <v>Niet van toepassing. Er zijn middelen beschikbaar. Een deel daarvan zal op de rekening-courant blijven staan.</v>
      </c>
      <c r="D13" s="154"/>
      <c r="E13" s="160" t="s">
        <v>4</v>
      </c>
      <c r="F13" s="162">
        <f>+Totaaloverzicht!H41</f>
        <v>80470.25</v>
      </c>
      <c r="G13" s="160" t="s">
        <v>185</v>
      </c>
    </row>
    <row r="14" spans="1:7" s="76" customFormat="1" ht="45" customHeight="1">
      <c r="A14" s="160" t="s">
        <v>29</v>
      </c>
      <c r="B14" s="159">
        <f>+'2007'!B14*102.5%</f>
        <v>0</v>
      </c>
      <c r="C14" s="160" t="s">
        <v>94</v>
      </c>
      <c r="D14" s="154"/>
      <c r="E14" s="160" t="s">
        <v>148</v>
      </c>
      <c r="F14" s="162">
        <f>+Totaaloverzicht!H40</f>
        <v>57736.70508594427</v>
      </c>
      <c r="G14" s="160" t="s">
        <v>173</v>
      </c>
    </row>
    <row r="15" spans="1:7" ht="25.5" customHeight="1">
      <c r="A15" s="160" t="s">
        <v>30</v>
      </c>
      <c r="B15" s="159">
        <f>+'2007'!B15*102.5%</f>
        <v>0</v>
      </c>
      <c r="C15" s="160" t="str">
        <f>'2005'!D19</f>
        <v>Geen bemiddeling, daardoor geen bemiddelingskosten.</v>
      </c>
      <c r="D15" s="154"/>
      <c r="E15" s="160" t="s">
        <v>6</v>
      </c>
      <c r="F15" s="162" t="str">
        <f>+Totaaloverzicht!G42</f>
        <v>p.m.</v>
      </c>
      <c r="G15" s="154"/>
    </row>
    <row r="16" spans="1:7" ht="28.5" customHeight="1">
      <c r="A16" s="160" t="str">
        <f>'2005'!A20</f>
        <v>d. aankoopkosten</v>
      </c>
      <c r="B16" s="159">
        <f>+'2007'!B16*102.5%</f>
        <v>1050.625</v>
      </c>
      <c r="C16" s="160" t="str">
        <f>'2005'!D20</f>
        <v>Kosten aandelen + obligaties uitzetting ontvangen heffing.</v>
      </c>
      <c r="D16" s="154"/>
      <c r="E16" s="160" t="s">
        <v>17</v>
      </c>
      <c r="F16" s="162" t="str">
        <f>+Totaaloverzicht!G43</f>
        <v>p.m.</v>
      </c>
      <c r="G16" s="154"/>
    </row>
    <row r="17" spans="1:7" ht="32.25" customHeight="1">
      <c r="A17" s="160" t="str">
        <f>'2005'!A21</f>
        <v>e. bewaarloon</v>
      </c>
      <c r="B17" s="159">
        <f>+'2007'!B17*102.5%</f>
        <v>1575.9374999999995</v>
      </c>
      <c r="C17" s="160" t="str">
        <f>'2005'!D21</f>
        <v>Kosten aanhouden effectendepot door bank.</v>
      </c>
      <c r="D17" s="154"/>
      <c r="E17" s="160" t="s">
        <v>7</v>
      </c>
      <c r="F17" s="162">
        <f>+Totaaloverzicht!G44</f>
        <v>0</v>
      </c>
      <c r="G17" s="154"/>
    </row>
    <row r="18" spans="1:7" ht="29.25" customHeight="1">
      <c r="A18" s="160" t="str">
        <f>'2005'!A23</f>
        <v>g. koersverschil</v>
      </c>
      <c r="B18" s="159">
        <f>+'2007'!B18*102.5%</f>
        <v>0</v>
      </c>
      <c r="C18" s="160" t="str">
        <f>'2005'!D23</f>
        <v>Koersontwikkeling, doet zich in de jaarrekening voor.</v>
      </c>
      <c r="D18" s="154"/>
      <c r="E18" s="154"/>
      <c r="F18" s="157"/>
      <c r="G18" s="157"/>
    </row>
    <row r="19" spans="1:7" ht="42.75" customHeight="1">
      <c r="A19" s="160" t="str">
        <f>'2005'!A24</f>
        <v>h. afschrijving agio/disagio</v>
      </c>
      <c r="B19" s="159">
        <v>6712.72</v>
      </c>
      <c r="C19" s="160" t="str">
        <f>'2005'!D24</f>
        <v>Dit doet zich voor als gelden worden uitgezet tegen lagere of hogere rente dan de marktrente. </v>
      </c>
      <c r="D19" s="154"/>
      <c r="E19" s="154"/>
      <c r="F19" s="157"/>
      <c r="G19" s="154"/>
    </row>
    <row r="20" spans="1:7" ht="12.75" customHeight="1">
      <c r="A20" s="160"/>
      <c r="B20" s="169"/>
      <c r="C20" s="160"/>
      <c r="D20" s="154"/>
      <c r="E20" s="154"/>
      <c r="F20" s="166"/>
      <c r="G20" s="154"/>
    </row>
    <row r="21" spans="1:7" ht="12.75" customHeight="1">
      <c r="A21" s="160"/>
      <c r="B21" s="156">
        <f>SUM(B13:B20)</f>
        <v>9339.2825</v>
      </c>
      <c r="C21" s="160"/>
      <c r="D21" s="154"/>
      <c r="E21" s="154"/>
      <c r="F21" s="157">
        <f>SUM(F13:F20)</f>
        <v>138206.95508594427</v>
      </c>
      <c r="G21" s="154"/>
    </row>
    <row r="22" spans="1:7" ht="12.75" customHeight="1">
      <c r="A22" s="154"/>
      <c r="B22" s="156"/>
      <c r="C22" s="154"/>
      <c r="D22" s="154"/>
      <c r="E22" s="154"/>
      <c r="F22" s="157"/>
      <c r="G22" s="154"/>
    </row>
    <row r="23" spans="1:7" ht="43.5" customHeight="1">
      <c r="A23" s="158" t="s">
        <v>160</v>
      </c>
      <c r="B23" s="162" t="s">
        <v>41</v>
      </c>
      <c r="C23" s="160"/>
      <c r="D23" s="160"/>
      <c r="E23" s="160"/>
      <c r="F23" s="162"/>
      <c r="G23" s="160"/>
    </row>
    <row r="24" spans="1:7" ht="62.25" customHeight="1">
      <c r="A24" s="158" t="s">
        <v>161</v>
      </c>
      <c r="B24" s="162">
        <f>+Totaaloverzicht!H24</f>
        <v>106678.67258594425</v>
      </c>
      <c r="C24" s="160" t="s">
        <v>169</v>
      </c>
      <c r="D24" s="160"/>
      <c r="E24" s="160"/>
      <c r="F24" s="162"/>
      <c r="G24" s="160"/>
    </row>
    <row r="25" spans="1:7" ht="42" customHeight="1">
      <c r="A25" s="158" t="s">
        <v>162</v>
      </c>
      <c r="B25" s="162">
        <f>+Totaaloverzicht!G25</f>
        <v>0</v>
      </c>
      <c r="C25" s="160" t="s">
        <v>51</v>
      </c>
      <c r="D25" s="160"/>
      <c r="E25" s="158"/>
      <c r="F25" s="162"/>
      <c r="G25" s="160"/>
    </row>
    <row r="26" spans="1:7" ht="42" customHeight="1">
      <c r="A26" s="158" t="s">
        <v>149</v>
      </c>
      <c r="B26" s="162">
        <f>+Totaaloverzicht!G26</f>
        <v>0</v>
      </c>
      <c r="C26" s="160" t="s">
        <v>172</v>
      </c>
      <c r="D26" s="160"/>
      <c r="E26" s="158" t="s">
        <v>153</v>
      </c>
      <c r="F26" s="162" t="s">
        <v>41</v>
      </c>
      <c r="G26" s="160" t="s">
        <v>170</v>
      </c>
    </row>
    <row r="27" spans="1:7" ht="33" customHeight="1">
      <c r="A27" s="158" t="s">
        <v>150</v>
      </c>
      <c r="B27" s="162">
        <f>+Totaaloverzicht!G27</f>
        <v>0</v>
      </c>
      <c r="C27" s="160" t="s">
        <v>178</v>
      </c>
      <c r="D27" s="160"/>
      <c r="E27" s="158" t="s">
        <v>152</v>
      </c>
      <c r="F27" s="162" t="s">
        <v>41</v>
      </c>
      <c r="G27" s="160" t="s">
        <v>179</v>
      </c>
    </row>
    <row r="28" spans="1:7" ht="30" customHeight="1">
      <c r="A28" s="158" t="s">
        <v>163</v>
      </c>
      <c r="B28" s="162">
        <f>+Totaaloverzicht!G28</f>
        <v>0</v>
      </c>
      <c r="C28" s="160" t="s">
        <v>43</v>
      </c>
      <c r="D28" s="160"/>
      <c r="E28" s="160"/>
      <c r="F28" s="162"/>
      <c r="G28" s="160"/>
    </row>
    <row r="29" spans="1:7" ht="12.75" customHeight="1">
      <c r="A29" s="160"/>
      <c r="B29" s="169"/>
      <c r="C29" s="160"/>
      <c r="D29" s="160"/>
      <c r="E29" s="160"/>
      <c r="F29" s="171"/>
      <c r="G29" s="160"/>
    </row>
    <row r="30" spans="1:7" ht="18.75" customHeight="1">
      <c r="A30" s="158"/>
      <c r="B30" s="156">
        <f>SUM(B23:B29)</f>
        <v>106678.67258594425</v>
      </c>
      <c r="C30" s="160"/>
      <c r="D30" s="160"/>
      <c r="E30" s="158"/>
      <c r="F30" s="164">
        <f>SUM(F24:F29)</f>
        <v>0</v>
      </c>
      <c r="G30" s="160"/>
    </row>
    <row r="31" spans="1:7" ht="12.75" customHeight="1">
      <c r="A31" s="160"/>
      <c r="B31" s="159"/>
      <c r="C31" s="160"/>
      <c r="D31" s="160"/>
      <c r="E31" s="160"/>
      <c r="F31" s="162"/>
      <c r="G31" s="160"/>
    </row>
    <row r="32" spans="1:7" ht="12.75" customHeight="1" thickBot="1">
      <c r="A32" s="154" t="s">
        <v>20</v>
      </c>
      <c r="B32" s="172">
        <f>SUM(B30+B21+B11)</f>
        <v>138206.95508594427</v>
      </c>
      <c r="C32" s="160"/>
      <c r="D32" s="160"/>
      <c r="E32" s="154" t="s">
        <v>21</v>
      </c>
      <c r="F32" s="173">
        <f>SUM(+F21+F11+F30)</f>
        <v>138206.95508594427</v>
      </c>
      <c r="G32" s="160"/>
    </row>
    <row r="33" spans="1:7" ht="12.75" customHeight="1" thickTop="1">
      <c r="A33" s="160"/>
      <c r="B33" s="159"/>
      <c r="C33" s="160"/>
      <c r="D33" s="160"/>
      <c r="E33" s="160"/>
      <c r="F33" s="162"/>
      <c r="G33" s="160"/>
    </row>
    <row r="34" spans="1:7" ht="12.75" customHeight="1">
      <c r="A34" s="160"/>
      <c r="B34" s="159"/>
      <c r="C34" s="160"/>
      <c r="D34" s="160"/>
      <c r="E34" s="160"/>
      <c r="F34" s="162"/>
      <c r="G34" s="160"/>
    </row>
    <row r="35" spans="1:7" ht="12.75" customHeight="1">
      <c r="A35" s="160"/>
      <c r="B35" s="159"/>
      <c r="C35" s="160"/>
      <c r="D35" s="160"/>
      <c r="E35" s="160"/>
      <c r="F35" s="162"/>
      <c r="G35" s="160"/>
    </row>
    <row r="36" spans="1:7" s="76" customFormat="1" ht="12.75" customHeight="1">
      <c r="A36" s="160"/>
      <c r="B36" s="159"/>
      <c r="C36" s="160"/>
      <c r="D36" s="160"/>
      <c r="E36" s="160"/>
      <c r="F36" s="162"/>
      <c r="G36" s="160"/>
    </row>
    <row r="37" spans="1:7" ht="12.75" customHeight="1">
      <c r="A37" s="217" t="s">
        <v>183</v>
      </c>
      <c r="B37" s="159"/>
      <c r="C37" s="154" t="s">
        <v>89</v>
      </c>
      <c r="D37" s="154"/>
      <c r="E37" s="160"/>
      <c r="F37" s="162"/>
      <c r="G37" s="160"/>
    </row>
    <row r="38" spans="1:7" s="76" customFormat="1" ht="12.75" customHeight="1">
      <c r="A38" s="217"/>
      <c r="B38" s="156"/>
      <c r="C38" s="154" t="s">
        <v>77</v>
      </c>
      <c r="D38" s="154"/>
      <c r="E38" s="156"/>
      <c r="F38" s="155"/>
      <c r="G38" s="154"/>
    </row>
    <row r="39" spans="1:7" s="152" customFormat="1" ht="12.75" customHeight="1">
      <c r="A39" s="154"/>
      <c r="B39" s="156"/>
      <c r="C39" s="154"/>
      <c r="D39" s="154"/>
      <c r="E39" s="156"/>
      <c r="F39" s="155"/>
      <c r="G39" s="154"/>
    </row>
    <row r="40" spans="1:7" s="152" customFormat="1" ht="12.75" customHeight="1">
      <c r="A40" s="174" t="s">
        <v>164</v>
      </c>
      <c r="B40" s="153"/>
      <c r="C40" s="154" t="s">
        <v>165</v>
      </c>
      <c r="D40" s="156">
        <f>+Totaaloverzicht!G60</f>
        <v>2133573.4565543635</v>
      </c>
      <c r="E40" s="154"/>
      <c r="F40" s="155"/>
      <c r="G40" s="154"/>
    </row>
    <row r="41" spans="1:7" s="76" customFormat="1" ht="12.75" customHeight="1">
      <c r="A41" s="154"/>
      <c r="B41" s="153"/>
      <c r="C41" s="154" t="s">
        <v>166</v>
      </c>
      <c r="D41" s="165">
        <f>+B24</f>
        <v>106678.67258594425</v>
      </c>
      <c r="E41" s="154"/>
      <c r="F41" s="155"/>
      <c r="G41" s="154"/>
    </row>
    <row r="42" spans="1:7" s="76" customFormat="1" ht="12.75" customHeight="1">
      <c r="A42" s="154"/>
      <c r="B42" s="153"/>
      <c r="C42" s="154" t="s">
        <v>167</v>
      </c>
      <c r="D42" s="156">
        <f>SUM(D40:D41)</f>
        <v>2240252.1291403077</v>
      </c>
      <c r="E42" s="154"/>
      <c r="F42" s="155"/>
      <c r="G42" s="154"/>
    </row>
    <row r="43" spans="1:7" ht="12.75" customHeight="1">
      <c r="A43" s="160"/>
      <c r="B43" s="159"/>
      <c r="C43" s="160"/>
      <c r="D43" s="160"/>
      <c r="E43" s="160"/>
      <c r="F43" s="162"/>
      <c r="G43" s="160"/>
    </row>
    <row r="44" spans="1:7" ht="12.75" customHeight="1">
      <c r="A44" s="160"/>
      <c r="B44" s="159"/>
      <c r="C44" s="160"/>
      <c r="D44" s="160"/>
      <c r="E44" s="160"/>
      <c r="F44" s="162"/>
      <c r="G44" s="160"/>
    </row>
    <row r="45" spans="1:7" ht="12.75" customHeight="1">
      <c r="A45" s="174" t="s">
        <v>168</v>
      </c>
      <c r="B45" s="159"/>
      <c r="C45" s="154" t="s">
        <v>165</v>
      </c>
      <c r="D45" s="156">
        <f>+Totaaloverzicht!G62</f>
        <v>957379.23</v>
      </c>
      <c r="E45" s="160"/>
      <c r="F45" s="162"/>
      <c r="G45" s="160"/>
    </row>
    <row r="46" spans="1:7" ht="12.75" customHeight="1">
      <c r="A46" s="160"/>
      <c r="B46" s="159"/>
      <c r="C46" s="154" t="s">
        <v>166</v>
      </c>
      <c r="D46" s="165">
        <v>-63720</v>
      </c>
      <c r="E46" s="160"/>
      <c r="F46" s="162"/>
      <c r="G46" s="160"/>
    </row>
    <row r="47" spans="1:7" ht="12.75" customHeight="1">
      <c r="A47" s="160"/>
      <c r="B47" s="159"/>
      <c r="C47" s="154" t="s">
        <v>167</v>
      </c>
      <c r="D47" s="156">
        <f>SUM(D45:D46)</f>
        <v>893659.23</v>
      </c>
      <c r="E47" s="160"/>
      <c r="F47" s="162"/>
      <c r="G47" s="160"/>
    </row>
    <row r="48" spans="1:7" s="76" customFormat="1" ht="12.75" customHeight="1">
      <c r="A48" s="160"/>
      <c r="B48" s="159"/>
      <c r="C48" s="77"/>
      <c r="D48" s="160"/>
      <c r="E48" s="160"/>
      <c r="F48" s="162"/>
      <c r="G48" s="160"/>
    </row>
    <row r="49" spans="1:7" s="76" customFormat="1" ht="27.75" customHeight="1">
      <c r="A49" s="77"/>
      <c r="B49" s="80"/>
      <c r="D49" s="77"/>
      <c r="E49" s="77"/>
      <c r="F49" s="78"/>
      <c r="G49" s="77"/>
    </row>
    <row r="50" spans="1:7" s="76" customFormat="1" ht="12.75">
      <c r="A50" s="77"/>
      <c r="B50" s="80"/>
      <c r="C50" s="77"/>
      <c r="D50" s="77"/>
      <c r="E50" s="77"/>
      <c r="F50" s="78"/>
      <c r="G50" s="77"/>
    </row>
    <row r="51" spans="1:7" s="76" customFormat="1" ht="12.75">
      <c r="A51" s="77"/>
      <c r="B51" s="80"/>
      <c r="C51" s="77"/>
      <c r="D51" s="77"/>
      <c r="E51" s="77"/>
      <c r="F51" s="78"/>
      <c r="G51" s="77"/>
    </row>
  </sheetData>
  <mergeCells count="1">
    <mergeCell ref="A37:A38"/>
  </mergeCells>
  <printOptions/>
  <pageMargins left="0.3937007874015748" right="0.3937007874015748" top="0.3937007874015748" bottom="0.3937007874015748" header="0" footer="0"/>
  <pageSetup horizontalDpi="600" verticalDpi="600" orientation="landscape" paperSize="9" scale="67" r:id="rId1"/>
  <rowBreaks count="1" manualBreakCount="1">
    <brk id="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Provincie Utrecht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p3275</dc:creator>
  <cp:keywords/>
  <dc:description/>
  <cp:lastModifiedBy>P8285</cp:lastModifiedBy>
  <cp:lastPrinted>2009-11-23T14:42:13Z</cp:lastPrinted>
  <dcterms:created xsi:type="dcterms:W3CDTF">2002-06-05T08:29:47Z</dcterms:created>
  <dcterms:modified xsi:type="dcterms:W3CDTF">2009-12-16T07:42:26Z</dcterms:modified>
  <cp:category/>
  <cp:version/>
  <cp:contentType/>
  <cp:contentStatus/>
</cp:coreProperties>
</file>